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H:\My Documents\NE 2021\"/>
    </mc:Choice>
  </mc:AlternateContent>
  <xr:revisionPtr revIDLastSave="0" documentId="8_{DD19B823-8521-40B8-8404-AAFCD3FBA8F5}" xr6:coauthVersionLast="47" xr6:coauthVersionMax="47" xr10:uidLastSave="{00000000-0000-0000-0000-000000000000}"/>
  <bookViews>
    <workbookView xWindow="-120" yWindow="-120" windowWidth="29040" windowHeight="15840" tabRatio="539" xr2:uid="{00000000-000D-0000-FFFF-FFFF00000000}"/>
  </bookViews>
  <sheets>
    <sheet name="Słowniczek" sheetId="16" r:id="rId1"/>
    <sheet name="Założenia" sheetId="1" r:id="rId2"/>
    <sheet name="Opcje" sheetId="14" r:id="rId3"/>
    <sheet name="przychody" sheetId="27" r:id="rId4"/>
    <sheet name="Scenariusz bazowy" sheetId="30" r:id="rId5"/>
    <sheet name="Wariant konwencjonalny" sheetId="17" r:id="rId6"/>
    <sheet name="Wariant elektryczny 1" sheetId="28" r:id="rId7"/>
    <sheet name="Wariant elektryczny 2" sheetId="29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CIT">[1]RW_n!$B$54</definedName>
    <definedName name="Company">[2]Parameters!$F$7</definedName>
    <definedName name="Completo" localSheetId="4">#REF!,#REF!,#REF!,#REF!</definedName>
    <definedName name="Completo" localSheetId="6">#REF!,#REF!,#REF!,#REF!</definedName>
    <definedName name="Completo" localSheetId="7">#REF!,#REF!,#REF!,#REF!</definedName>
    <definedName name="Completo" localSheetId="5">#REF!,#REF!,#REF!,#REF!</definedName>
    <definedName name="Completo">#REF!,#REF!,#REF!,#REF!</definedName>
    <definedName name="convCA" localSheetId="4">#REF!</definedName>
    <definedName name="convCA" localSheetId="6">#REF!</definedName>
    <definedName name="convCA" localSheetId="7">#REF!</definedName>
    <definedName name="convCA" localSheetId="5">#REF!</definedName>
    <definedName name="convCA">#REF!</definedName>
    <definedName name="CRITICAL2CAPEX" localSheetId="6">#REF!</definedName>
    <definedName name="CRITICAL2CAPEX" localSheetId="7">#REF!</definedName>
    <definedName name="CRITICAL2CAPEX">#REF!</definedName>
    <definedName name="CRITICAL2DEMAND" localSheetId="6">#REF!</definedName>
    <definedName name="CRITICAL2DEMAND" localSheetId="7">#REF!</definedName>
    <definedName name="CRITICAL2DEMAND">#REF!</definedName>
    <definedName name="CRITICAL2DIESEL" localSheetId="6">#REF!</definedName>
    <definedName name="CRITICAL2DIESEL" localSheetId="7">#REF!</definedName>
    <definedName name="CRITICAL2DIESEL">#REF!</definedName>
    <definedName name="CRITICAL2ENERGY" localSheetId="6">#REF!</definedName>
    <definedName name="CRITICAL2ENERGY" localSheetId="7">#REF!</definedName>
    <definedName name="CRITICAL2ENERGY">#REF!</definedName>
    <definedName name="CRITICAL2OPEX" localSheetId="6">#REF!</definedName>
    <definedName name="CRITICAL2OPEX" localSheetId="7">#REF!</definedName>
    <definedName name="CRITICAL2OPEX">#REF!</definedName>
    <definedName name="CRITICAL2PRICE" localSheetId="6">#REF!</definedName>
    <definedName name="CRITICAL2PRICE" localSheetId="7">#REF!</definedName>
    <definedName name="CRITICAL2PRICE">#REF!</definedName>
    <definedName name="CRITICAL2TIME" localSheetId="6">#REF!</definedName>
    <definedName name="CRITICAL2TIME" localSheetId="7">#REF!</definedName>
    <definedName name="CRITICAL2TIME">#REF!</definedName>
    <definedName name="CRITICAL2WAGES" localSheetId="6">#REF!</definedName>
    <definedName name="CRITICAL2WAGES" localSheetId="7">#REF!</definedName>
    <definedName name="CRITICAL2WAGES">#REF!</definedName>
    <definedName name="CRITICAL3CAPEX" localSheetId="6">#REF!</definedName>
    <definedName name="CRITICAL3CAPEX" localSheetId="7">#REF!</definedName>
    <definedName name="CRITICAL3CAPEX">#REF!</definedName>
    <definedName name="CRITICAL3DEMAND" localSheetId="6">#REF!</definedName>
    <definedName name="CRITICAL3DEMAND" localSheetId="7">#REF!</definedName>
    <definedName name="CRITICAL3DEMAND">#REF!</definedName>
    <definedName name="CRITICAL3DIESEL" localSheetId="6">#REF!</definedName>
    <definedName name="CRITICAL3DIESEL" localSheetId="7">#REF!</definedName>
    <definedName name="CRITICAL3DIESEL">#REF!</definedName>
    <definedName name="CRITICAL3ENERGY" localSheetId="6">#REF!</definedName>
    <definedName name="CRITICAL3ENERGY" localSheetId="7">#REF!</definedName>
    <definedName name="CRITICAL3ENERGY">#REF!</definedName>
    <definedName name="CRITICAL3OPEX" localSheetId="6">#REF!</definedName>
    <definedName name="CRITICAL3OPEX" localSheetId="7">#REF!</definedName>
    <definedName name="CRITICAL3OPEX">#REF!</definedName>
    <definedName name="CRITICAL3PRICE" localSheetId="6">#REF!</definedName>
    <definedName name="CRITICAL3PRICE" localSheetId="7">#REF!</definedName>
    <definedName name="CRITICAL3PRICE">#REF!</definedName>
    <definedName name="CRITICAL3TIME" localSheetId="6">#REF!</definedName>
    <definedName name="CRITICAL3TIME" localSheetId="7">#REF!</definedName>
    <definedName name="CRITICAL3TIME">#REF!</definedName>
    <definedName name="CRITICALCAPEX" localSheetId="6">#REF!</definedName>
    <definedName name="CRITICALCAPEX" localSheetId="7">#REF!</definedName>
    <definedName name="CRITICALCAPEX">#REF!</definedName>
    <definedName name="CRITICALDEMAND" localSheetId="6">#REF!</definedName>
    <definedName name="CRITICALDEMAND" localSheetId="7">#REF!</definedName>
    <definedName name="CRITICALDEMAND">#REF!</definedName>
    <definedName name="CRITICALDIESEL" localSheetId="6">#REF!</definedName>
    <definedName name="CRITICALDIESEL" localSheetId="7">#REF!</definedName>
    <definedName name="CRITICALDIESEL">#REF!</definedName>
    <definedName name="CRITICALENERGY" localSheetId="6">#REF!</definedName>
    <definedName name="CRITICALENERGY" localSheetId="7">#REF!</definedName>
    <definedName name="CRITICALENERGY">#REF!</definedName>
    <definedName name="CRITICALOPEX" localSheetId="6">#REF!</definedName>
    <definedName name="CRITICALOPEX" localSheetId="7">#REF!</definedName>
    <definedName name="CRITICALOPEX">#REF!</definedName>
    <definedName name="CRITICALPRICE" localSheetId="6">#REF!</definedName>
    <definedName name="CRITICALPRICE" localSheetId="7">#REF!</definedName>
    <definedName name="CRITICALPRICE">#REF!</definedName>
    <definedName name="CRITICALTIME" localSheetId="6">#REF!</definedName>
    <definedName name="CRITICALTIME" localSheetId="7">#REF!</definedName>
    <definedName name="CRITICALTIME">#REF!</definedName>
    <definedName name="CRITICALWAGES" localSheetId="6">#REF!</definedName>
    <definedName name="CRITICALWAGES" localSheetId="7">#REF!</definedName>
    <definedName name="CRITICALWAGES">#REF!</definedName>
    <definedName name="croissinter" localSheetId="4">#REF!</definedName>
    <definedName name="croissinter" localSheetId="6">#REF!</definedName>
    <definedName name="croissinter" localSheetId="7">#REF!</definedName>
    <definedName name="croissinter" localSheetId="5">#REF!</definedName>
    <definedName name="croissinter">#REF!</definedName>
    <definedName name="CUYANA_COMPL" localSheetId="4">#REF!,#REF!,#REF!,#REF!</definedName>
    <definedName name="CUYANA_COMPL" localSheetId="6">#REF!,#REF!,#REF!,#REF!</definedName>
    <definedName name="CUYANA_COMPL" localSheetId="7">#REF!,#REF!,#REF!,#REF!</definedName>
    <definedName name="CUYANA_COMPL" localSheetId="5">#REF!,#REF!,#REF!,#REF!</definedName>
    <definedName name="CUYANA_COMPL">#REF!,#REF!,#REF!,#REF!</definedName>
    <definedName name="d" localSheetId="4">#REF!</definedName>
    <definedName name="d" localSheetId="6">#REF!</definedName>
    <definedName name="d" localSheetId="7">#REF!</definedName>
    <definedName name="d" localSheetId="5">#REF!</definedName>
    <definedName name="date">'[3]mode d''emploi'!$C$7</definedName>
    <definedName name="decalage">[2]Parameters!$I$13</definedName>
    <definedName name="dernier">[2]Parameters!$F$10</definedName>
    <definedName name="Dett_inv_Monit" localSheetId="4">#REF!</definedName>
    <definedName name="Dett_inv_Monit" localSheetId="6">#REF!</definedName>
    <definedName name="Dett_inv_Monit" localSheetId="7">#REF!</definedName>
    <definedName name="Dett_inv_Monit" localSheetId="5">#REF!</definedName>
    <definedName name="Dett_inv_Monit">#REF!</definedName>
    <definedName name="Dett_Investim_BP" localSheetId="4">#REF!</definedName>
    <definedName name="Dett_Investim_BP" localSheetId="6">#REF!</definedName>
    <definedName name="Dett_Investim_BP" localSheetId="7">#REF!</definedName>
    <definedName name="Dett_Investim_BP" localSheetId="5">#REF!</definedName>
    <definedName name="Dett_Investim_BP">#REF!</definedName>
    <definedName name="devise">[2]Parameters!$F$8</definedName>
    <definedName name="final">[2]Parameters!$F$13</definedName>
    <definedName name="Format" localSheetId="4">#REF!</definedName>
    <definedName name="Format" localSheetId="6">#REF!</definedName>
    <definedName name="Format" localSheetId="7">#REF!</definedName>
    <definedName name="Format" localSheetId="5">#REF!</definedName>
    <definedName name="Format">#REF!</definedName>
    <definedName name="GLOBAL" localSheetId="6">#REF!</definedName>
    <definedName name="GLOBAL" localSheetId="7">#REF!</definedName>
    <definedName name="GLOBAL">#REF!</definedName>
    <definedName name="Globale_bp" localSheetId="4">#REF!,#REF!,#REF!,#REF!,#REF!,#REF!,#REF!</definedName>
    <definedName name="Globale_bp" localSheetId="6">#REF!,#REF!,#REF!,#REF!,#REF!,#REF!,#REF!</definedName>
    <definedName name="Globale_bp" localSheetId="7">#REF!,#REF!,#REF!,#REF!,#REF!,#REF!,#REF!</definedName>
    <definedName name="Globale_bp" localSheetId="5">#REF!,#REF!,#REF!,#REF!,#REF!,#REF!,#REF!</definedName>
    <definedName name="Globale_bp">#REF!,#REF!,#REF!,#REF!,#REF!,#REF!,#REF!</definedName>
    <definedName name="globale_grafici" localSheetId="4">#REF!,#REF!,#REF!,#REF!,#REF!,#REF!</definedName>
    <definedName name="globale_grafici" localSheetId="6">#REF!,#REF!,#REF!,#REF!,#REF!,#REF!</definedName>
    <definedName name="globale_grafici" localSheetId="7">#REF!,#REF!,#REF!,#REF!,#REF!,#REF!</definedName>
    <definedName name="globale_grafici" localSheetId="5">#REF!,#REF!,#REF!,#REF!,#REF!,#REF!</definedName>
    <definedName name="globale_grafici">#REF!,#REF!,#REF!,#REF!,#REF!,#REF!</definedName>
    <definedName name="Globale_monitoraggio" localSheetId="4">#REF!,#REF!,#REF!,#REF!,#REF!,#REF!,#REF!</definedName>
    <definedName name="Globale_monitoraggio" localSheetId="6">#REF!,#REF!,#REF!,#REF!,#REF!,#REF!,#REF!</definedName>
    <definedName name="Globale_monitoraggio" localSheetId="7">#REF!,#REF!,#REF!,#REF!,#REF!,#REF!,#REF!</definedName>
    <definedName name="Globale_monitoraggio" localSheetId="5">#REF!,#REF!,#REF!,#REF!,#REF!,#REF!,#REF!</definedName>
    <definedName name="Globale_monitoraggio">#REF!,#REF!,#REF!,#REF!,#REF!,#REF!,#REF!</definedName>
    <definedName name="Globale_scostamenti" localSheetId="4">#REF!,#REF!,#REF!,#REF!,#REF!</definedName>
    <definedName name="Globale_scostamenti" localSheetId="6">#REF!,#REF!,#REF!,#REF!,#REF!</definedName>
    <definedName name="Globale_scostamenti" localSheetId="7">#REF!,#REF!,#REF!,#REF!,#REF!</definedName>
    <definedName name="Globale_scostamenti" localSheetId="5">#REF!,#REF!,#REF!,#REF!,#REF!</definedName>
    <definedName name="Globale_scostamenti">#REF!,#REF!,#REF!,#REF!,#REF!</definedName>
    <definedName name="IK" localSheetId="4">#REF!</definedName>
    <definedName name="IK" localSheetId="6">#REF!</definedName>
    <definedName name="IK" localSheetId="7">#REF!</definedName>
    <definedName name="IK" localSheetId="5">#REF!</definedName>
    <definedName name="monnaie">'[4]mode d''emploi'!$C$34</definedName>
    <definedName name="naenpv" localSheetId="6">#REF!,#REF!,#REF!,#REF!,#REF!,#REF!,#REF!,#REF!</definedName>
    <definedName name="naenpv" localSheetId="7">#REF!,#REF!,#REF!,#REF!,#REF!,#REF!,#REF!,#REF!</definedName>
    <definedName name="naenpv">#REF!,#REF!,#REF!,#REF!,#REF!,#REF!,#REF!,#REF!</definedName>
    <definedName name="nafnpv" localSheetId="6">#REF!,#REF!,#REF!,#REF!,#REF!,#REF!,#REF!,#REF!</definedName>
    <definedName name="nafnpv" localSheetId="7">#REF!,#REF!,#REF!,#REF!,#REF!,#REF!,#REF!,#REF!</definedName>
    <definedName name="nafnpv">#REF!,#REF!,#REF!,#REF!,#REF!,#REF!,#REF!,#REF!</definedName>
    <definedName name="name">'[5]user guide'!$D$14</definedName>
    <definedName name="NPV" localSheetId="4">'[6]Sales Sphinx'!#REF!</definedName>
    <definedName name="NPV" localSheetId="6">'[6]Sales Sphinx'!#REF!</definedName>
    <definedName name="NPV" localSheetId="7">'[6]Sales Sphinx'!#REF!</definedName>
    <definedName name="NPV" localSheetId="5">'[6]Sales Sphinx'!#REF!</definedName>
    <definedName name="NPV">'[6]Sales Sphinx'!#REF!</definedName>
    <definedName name="NPV2BAZA" localSheetId="6">#REF!</definedName>
    <definedName name="NPV2BAZA" localSheetId="7">#REF!</definedName>
    <definedName name="NPV2BAZA">#REF!</definedName>
    <definedName name="NPV2CAPEX" localSheetId="6">#REF!</definedName>
    <definedName name="NPV2CAPEX" localSheetId="7">#REF!</definedName>
    <definedName name="NPV2CAPEX">#REF!</definedName>
    <definedName name="NPV2COPY" localSheetId="6">#REF!</definedName>
    <definedName name="NPV2COPY" localSheetId="7">#REF!</definedName>
    <definedName name="NPV2COPY">#REF!</definedName>
    <definedName name="NPV2DEMAND" localSheetId="6">#REF!</definedName>
    <definedName name="NPV2DEMAND" localSheetId="7">#REF!</definedName>
    <definedName name="NPV2DEMAND">#REF!</definedName>
    <definedName name="NPV2ENERGY" localSheetId="6">#REF!</definedName>
    <definedName name="NPV2ENERGY" localSheetId="7">#REF!</definedName>
    <definedName name="NPV2ENERGY">#REF!</definedName>
    <definedName name="NPV2INVEST" localSheetId="6">#REF!</definedName>
    <definedName name="NPV2INVEST" localSheetId="7">#REF!</definedName>
    <definedName name="NPV2INVEST">#REF!</definedName>
    <definedName name="NPV2PRICE" localSheetId="6">#REF!</definedName>
    <definedName name="NPV2PRICE" localSheetId="7">#REF!</definedName>
    <definedName name="NPV2PRICE">#REF!</definedName>
    <definedName name="NPV2WAGES" localSheetId="6">#REF!</definedName>
    <definedName name="NPV2WAGES" localSheetId="7">#REF!</definedName>
    <definedName name="NPV2WAGES">#REF!</definedName>
    <definedName name="NPVBAZA" localSheetId="6">#REF!</definedName>
    <definedName name="NPVBAZA" localSheetId="7">#REF!</definedName>
    <definedName name="NPVBAZA">#REF!</definedName>
    <definedName name="NPVCAPEX" localSheetId="6">#REF!</definedName>
    <definedName name="NPVCAPEX" localSheetId="7">#REF!</definedName>
    <definedName name="NPVCAPEX">#REF!</definedName>
    <definedName name="NPVCAPEX15" localSheetId="6">#REF!</definedName>
    <definedName name="NPVCAPEX15" localSheetId="7">#REF!</definedName>
    <definedName name="NPVCAPEX15">#REF!</definedName>
    <definedName name="NPVCAPEX25" localSheetId="6">#REF!</definedName>
    <definedName name="NPVCAPEX25" localSheetId="7">#REF!</definedName>
    <definedName name="NPVCAPEX25">#REF!</definedName>
    <definedName name="NPVCAPEXM25" localSheetId="6">#REF!</definedName>
    <definedName name="NPVCAPEXM25" localSheetId="7">#REF!</definedName>
    <definedName name="NPVCAPEXM25">#REF!</definedName>
    <definedName name="NPVCOPY" localSheetId="6">#REF!</definedName>
    <definedName name="NPVCOPY" localSheetId="7">#REF!</definedName>
    <definedName name="NPVCOPY">#REF!</definedName>
    <definedName name="NPVDEMAND" localSheetId="6">#REF!</definedName>
    <definedName name="NPVDEMAND" localSheetId="7">#REF!</definedName>
    <definedName name="NPVDEMAND">#REF!</definedName>
    <definedName name="NPVDEMAND15" localSheetId="6">#REF!</definedName>
    <definedName name="NPVDEMAND15" localSheetId="7">#REF!</definedName>
    <definedName name="_xlnm.Print_Area" localSheetId="4">'Scenariusz bazowy'!$B$1:$T$116</definedName>
    <definedName name="_xlnm.Print_Area" localSheetId="6">'Wariant elektryczny 1'!$B$1:$T$189</definedName>
    <definedName name="_xlnm.Print_Area" localSheetId="7">'Wariant elektryczny 2'!$B$1:$T$189</definedName>
    <definedName name="_xlnm.Print_Area" localSheetId="5">'Wariant konwencjonalny'!$B$1:$T$116</definedName>
    <definedName name="occupancy" localSheetId="6">Założenia!#REF!</definedName>
    <definedName name="occupancy" localSheetId="7">Założenia!#REF!</definedName>
    <definedName name="occupancy">Założenia!#REF!</definedName>
    <definedName name="OPEX" localSheetId="6">#REF!</definedName>
    <definedName name="OPEX" localSheetId="7">#REF!</definedName>
    <definedName name="OPEX">#REF!</definedName>
    <definedName name="OPEXCHANGE" localSheetId="6">#REF!</definedName>
    <definedName name="OPEXCHANGE" localSheetId="7">#REF!</definedName>
    <definedName name="OPEXCHANGE">#REF!</definedName>
    <definedName name="OPEXCHANGE2" localSheetId="6">#REF!</definedName>
    <definedName name="OPEXCHANGE2" localSheetId="7">#REF!</definedName>
    <definedName name="OPEXCHANGE2">#REF!</definedName>
    <definedName name="OPEXCHANGE3" localSheetId="6">#REF!</definedName>
    <definedName name="OPEXCHANGE3" localSheetId="7">#REF!</definedName>
    <definedName name="OPEXCHANGE3">#REF!</definedName>
    <definedName name="OPEXCHANGE4" localSheetId="6">#REF!</definedName>
    <definedName name="OPEXCHANGE4" localSheetId="7">#REF!</definedName>
    <definedName name="OPEXCHANGE4">#REF!</definedName>
    <definedName name="OPEXSCENARIO" localSheetId="6">#REF!</definedName>
    <definedName name="OPEXSCENARIO" localSheetId="7">#REF!</definedName>
    <definedName name="OPEXSCENARIO">#REF!</definedName>
    <definedName name="OPEXSCENARIO1" localSheetId="6">#REF!</definedName>
    <definedName name="OPEXSCENARIO1" localSheetId="7">#REF!</definedName>
    <definedName name="OPEXSCENARIO1">#REF!</definedName>
    <definedName name="OPEXSCENARIO10" localSheetId="6">#REF!</definedName>
    <definedName name="OPEXSCENARIO10" localSheetId="7">#REF!</definedName>
    <definedName name="OPEXSCENARIO10">#REF!</definedName>
    <definedName name="OPEXSCENARIO11" localSheetId="6">#REF!</definedName>
    <definedName name="OPEXSCENARIO11" localSheetId="7">#REF!</definedName>
    <definedName name="OPEXSCENARIO11">#REF!</definedName>
    <definedName name="PIANO_QUINQ" localSheetId="4">#REF!,#REF!,#REF!,#REF!,#REF!,#REF!</definedName>
    <definedName name="PIANO_QUINQ" localSheetId="6">#REF!,#REF!,#REF!,#REF!,#REF!,#REF!</definedName>
    <definedName name="PIANO_QUINQ" localSheetId="7">#REF!,#REF!,#REF!,#REF!,#REF!,#REF!</definedName>
    <definedName name="PIANO_QUINQ" localSheetId="5">#REF!,#REF!,#REF!,#REF!,#REF!,#REF!</definedName>
    <definedName name="PIANO_QUINQ">#REF!,#REF!,#REF!,#REF!,#REF!,#REF!</definedName>
    <definedName name="ref">'[5]user guide'!$D$13</definedName>
    <definedName name="_xlnm.Print_Titles" localSheetId="4">'Scenariusz bazowy'!$B:$C</definedName>
    <definedName name="_xlnm.Print_Titles" localSheetId="6">'Wariant elektryczny 1'!$B:$C</definedName>
    <definedName name="_xlnm.Print_Titles" localSheetId="7">'Wariant elektryczny 2'!$B:$C</definedName>
    <definedName name="_xlnm.Print_Titles" localSheetId="5">'Wariant konwencjonalny'!$B:$C</definedName>
    <definedName name="unité">'[4]mode d''emploi'!$D$34</definedName>
    <definedName name="WACC">[2]Parameters!$F$33</definedName>
    <definedName name="wrn.Standard." hidden="1">{#N/A,#N/A,TRUE,"P&amp;L";#N/A,#N/A,TRUE,"Balance sheet";#N/A,#N/A,TRUE,"Cashflow";#N/A,#N/A,TRUE,"Profitability";#N/A,#N/A,TRUE,"Analysis of profitability"}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50" i="1" l="1"/>
  <c r="R7" i="27" l="1"/>
  <c r="S7" i="27" s="1"/>
  <c r="R6" i="27"/>
  <c r="S6" i="27" s="1"/>
  <c r="L136" i="14" l="1"/>
  <c r="H136" i="14"/>
  <c r="D136" i="14"/>
  <c r="D93" i="14"/>
  <c r="D92" i="14"/>
  <c r="D91" i="14"/>
  <c r="E188" i="1"/>
  <c r="E187" i="1"/>
  <c r="K349" i="1" l="1"/>
  <c r="J349" i="1"/>
  <c r="Q344" i="1"/>
  <c r="M344" i="1"/>
  <c r="I344" i="1"/>
  <c r="E344" i="1"/>
  <c r="P344" i="1"/>
  <c r="L344" i="1"/>
  <c r="H344" i="1"/>
  <c r="S344" i="1"/>
  <c r="O344" i="1"/>
  <c r="K344" i="1"/>
  <c r="G344" i="1"/>
  <c r="R344" i="1"/>
  <c r="N344" i="1"/>
  <c r="J344" i="1"/>
  <c r="F344" i="1"/>
  <c r="F211" i="1"/>
  <c r="D59" i="14"/>
  <c r="P59" i="14" s="1"/>
  <c r="D58" i="14"/>
  <c r="D34" i="14"/>
  <c r="D60" i="14"/>
  <c r="E286" i="1"/>
  <c r="F286" i="1"/>
  <c r="G286" i="1"/>
  <c r="H286" i="1"/>
  <c r="I286" i="1"/>
  <c r="J286" i="1"/>
  <c r="K286" i="1"/>
  <c r="E257" i="1"/>
  <c r="G257" i="1"/>
  <c r="I257" i="1"/>
  <c r="J257" i="1"/>
  <c r="K257" i="1"/>
  <c r="L257" i="1"/>
  <c r="M257" i="1"/>
  <c r="N257" i="1"/>
  <c r="N255" i="1" s="1"/>
  <c r="O257" i="1"/>
  <c r="P257" i="1"/>
  <c r="Q257" i="1"/>
  <c r="R257" i="1"/>
  <c r="S257" i="1"/>
  <c r="H257" i="1"/>
  <c r="F257" i="1"/>
  <c r="F255" i="1" s="1"/>
  <c r="M255" i="1" l="1"/>
  <c r="E255" i="1"/>
  <c r="M315" i="1"/>
  <c r="E315" i="1"/>
  <c r="D33" i="14"/>
  <c r="Q255" i="1"/>
  <c r="I255" i="1"/>
  <c r="P315" i="1"/>
  <c r="L315" i="1"/>
  <c r="H315" i="1"/>
  <c r="F60" i="14"/>
  <c r="I60" i="14"/>
  <c r="M60" i="14"/>
  <c r="Q60" i="14"/>
  <c r="E60" i="14"/>
  <c r="J60" i="14"/>
  <c r="N60" i="14"/>
  <c r="R60" i="14"/>
  <c r="G60" i="14"/>
  <c r="K60" i="14"/>
  <c r="O60" i="14"/>
  <c r="S60" i="14"/>
  <c r="H60" i="14"/>
  <c r="L60" i="14"/>
  <c r="P60" i="14"/>
  <c r="T60" i="14"/>
  <c r="H58" i="14"/>
  <c r="L58" i="14"/>
  <c r="P58" i="14"/>
  <c r="T58" i="14"/>
  <c r="I58" i="14"/>
  <c r="M58" i="14"/>
  <c r="Q58" i="14"/>
  <c r="F58" i="14"/>
  <c r="J58" i="14"/>
  <c r="N58" i="14"/>
  <c r="R58" i="14"/>
  <c r="S58" i="14"/>
  <c r="P255" i="1"/>
  <c r="I59" i="14"/>
  <c r="M59" i="14"/>
  <c r="Q59" i="14"/>
  <c r="F59" i="14"/>
  <c r="J59" i="14"/>
  <c r="G59" i="14"/>
  <c r="K59" i="14"/>
  <c r="O59" i="14"/>
  <c r="S59" i="14"/>
  <c r="N59" i="14"/>
  <c r="O58" i="14"/>
  <c r="E59" i="14"/>
  <c r="T59" i="14"/>
  <c r="L59" i="14"/>
  <c r="K58" i="14"/>
  <c r="R59" i="14"/>
  <c r="H59" i="14"/>
  <c r="G58" i="14"/>
  <c r="S255" i="1"/>
  <c r="O255" i="1"/>
  <c r="K255" i="1"/>
  <c r="G255" i="1"/>
  <c r="Q315" i="1"/>
  <c r="I315" i="1"/>
  <c r="R255" i="1"/>
  <c r="J255" i="1"/>
  <c r="R315" i="1"/>
  <c r="N315" i="1"/>
  <c r="J315" i="1"/>
  <c r="F315" i="1"/>
  <c r="S315" i="1"/>
  <c r="O315" i="1"/>
  <c r="K315" i="1"/>
  <c r="G315" i="1"/>
  <c r="H255" i="1"/>
  <c r="L255" i="1"/>
  <c r="L286" i="1"/>
  <c r="E212" i="1"/>
  <c r="E219" i="1" l="1"/>
  <c r="E215" i="1"/>
  <c r="E211" i="1"/>
  <c r="E218" i="1"/>
  <c r="E214" i="1"/>
  <c r="E210" i="1"/>
  <c r="E209" i="1"/>
  <c r="E217" i="1"/>
  <c r="E213" i="1"/>
  <c r="E222" i="1"/>
  <c r="E220" i="1"/>
  <c r="E216" i="1"/>
  <c r="T34" i="29" l="1"/>
  <c r="P34" i="29"/>
  <c r="L34" i="29"/>
  <c r="H34" i="29"/>
  <c r="T34" i="28"/>
  <c r="P34" i="28"/>
  <c r="L34" i="28"/>
  <c r="H34" i="28"/>
  <c r="T34" i="17"/>
  <c r="P34" i="17"/>
  <c r="L34" i="17"/>
  <c r="H34" i="17"/>
  <c r="F34" i="30"/>
  <c r="J34" i="30"/>
  <c r="N34" i="30"/>
  <c r="R34" i="30"/>
  <c r="J34" i="17"/>
  <c r="M34" i="29"/>
  <c r="I34" i="29"/>
  <c r="E34" i="29"/>
  <c r="Q34" i="28"/>
  <c r="I34" i="28"/>
  <c r="Q34" i="17"/>
  <c r="I34" i="17"/>
  <c r="I34" i="30"/>
  <c r="Q34" i="30"/>
  <c r="S34" i="29"/>
  <c r="O34" i="29"/>
  <c r="K34" i="29"/>
  <c r="G34" i="29"/>
  <c r="S34" i="28"/>
  <c r="O34" i="28"/>
  <c r="K34" i="28"/>
  <c r="G34" i="28"/>
  <c r="S34" i="17"/>
  <c r="O34" i="17"/>
  <c r="K34" i="17"/>
  <c r="G34" i="17"/>
  <c r="G34" i="30"/>
  <c r="K34" i="30"/>
  <c r="O34" i="30"/>
  <c r="S34" i="30"/>
  <c r="R34" i="29"/>
  <c r="N34" i="29"/>
  <c r="J34" i="29"/>
  <c r="F34" i="29"/>
  <c r="R34" i="28"/>
  <c r="N34" i="28"/>
  <c r="J34" i="28"/>
  <c r="F34" i="28"/>
  <c r="R34" i="17"/>
  <c r="N34" i="17"/>
  <c r="F34" i="17"/>
  <c r="H34" i="30"/>
  <c r="L34" i="30"/>
  <c r="P34" i="30"/>
  <c r="T34" i="30"/>
  <c r="Q34" i="29"/>
  <c r="M34" i="28"/>
  <c r="E34" i="28"/>
  <c r="M34" i="17"/>
  <c r="E34" i="17"/>
  <c r="M34" i="30"/>
  <c r="E34" i="30"/>
  <c r="E221" i="1"/>
  <c r="E223" i="1" s="1"/>
  <c r="G58" i="1" l="1"/>
  <c r="E58" i="1"/>
  <c r="D10" i="14" l="1"/>
  <c r="I10" i="14" s="1"/>
  <c r="D9" i="14"/>
  <c r="J34" i="14"/>
  <c r="T33" i="14"/>
  <c r="E58" i="14" l="1"/>
  <c r="H9" i="14"/>
  <c r="F34" i="14"/>
  <c r="K9" i="14"/>
  <c r="Q33" i="14"/>
  <c r="R34" i="14"/>
  <c r="M33" i="14"/>
  <c r="E33" i="14"/>
  <c r="N34" i="14"/>
  <c r="I33" i="14"/>
  <c r="S9" i="14"/>
  <c r="Q34" i="14"/>
  <c r="G34" i="14"/>
  <c r="K34" i="14"/>
  <c r="O34" i="14"/>
  <c r="S34" i="14"/>
  <c r="H34" i="14"/>
  <c r="L34" i="14"/>
  <c r="P34" i="14"/>
  <c r="T34" i="14"/>
  <c r="E34" i="14"/>
  <c r="I34" i="14"/>
  <c r="M34" i="14"/>
  <c r="F33" i="14"/>
  <c r="J33" i="14"/>
  <c r="N33" i="14"/>
  <c r="R33" i="14"/>
  <c r="G33" i="14"/>
  <c r="K33" i="14"/>
  <c r="O33" i="14"/>
  <c r="S33" i="14"/>
  <c r="H33" i="14"/>
  <c r="L33" i="14"/>
  <c r="P33" i="14"/>
  <c r="R9" i="14"/>
  <c r="J9" i="14"/>
  <c r="E9" i="14"/>
  <c r="O9" i="14"/>
  <c r="G9" i="14"/>
  <c r="N9" i="14"/>
  <c r="F9" i="14"/>
  <c r="T10" i="14"/>
  <c r="L10" i="14"/>
  <c r="S10" i="14"/>
  <c r="K10" i="14"/>
  <c r="E10" i="14"/>
  <c r="R10" i="14"/>
  <c r="N10" i="14"/>
  <c r="J10" i="14"/>
  <c r="F10" i="14"/>
  <c r="Q9" i="14"/>
  <c r="M9" i="14"/>
  <c r="I9" i="14"/>
  <c r="P10" i="14"/>
  <c r="H10" i="14"/>
  <c r="O10" i="14"/>
  <c r="G10" i="14"/>
  <c r="Q10" i="14"/>
  <c r="M10" i="14"/>
  <c r="T9" i="14"/>
  <c r="P9" i="14"/>
  <c r="L9" i="14"/>
  <c r="L102" i="14" l="1"/>
  <c r="M102" i="14" s="1"/>
  <c r="N102" i="14" s="1"/>
  <c r="D87" i="14"/>
  <c r="E349" i="1"/>
  <c r="F46" i="29" s="1"/>
  <c r="F349" i="1"/>
  <c r="G46" i="29" s="1"/>
  <c r="I349" i="1"/>
  <c r="J46" i="29" s="1"/>
  <c r="K46" i="29"/>
  <c r="M349" i="1"/>
  <c r="N46" i="29" s="1"/>
  <c r="N349" i="1"/>
  <c r="O46" i="29" s="1"/>
  <c r="Q349" i="1"/>
  <c r="R46" i="29" s="1"/>
  <c r="R349" i="1"/>
  <c r="S46" i="29" s="1"/>
  <c r="F342" i="1"/>
  <c r="I342" i="1"/>
  <c r="J342" i="1"/>
  <c r="M342" i="1"/>
  <c r="N342" i="1"/>
  <c r="R342" i="1"/>
  <c r="D344" i="1"/>
  <c r="D342" i="1" s="1"/>
  <c r="D304" i="1"/>
  <c r="D303" i="1" l="1"/>
  <c r="D301" i="1" s="1"/>
  <c r="O102" i="14"/>
  <c r="P349" i="1"/>
  <c r="Q46" i="29" s="1"/>
  <c r="L349" i="1"/>
  <c r="M46" i="29" s="1"/>
  <c r="H349" i="1"/>
  <c r="I46" i="29" s="1"/>
  <c r="D349" i="1"/>
  <c r="E46" i="29" s="1"/>
  <c r="S349" i="1"/>
  <c r="T46" i="29" s="1"/>
  <c r="O349" i="1"/>
  <c r="P46" i="29" s="1"/>
  <c r="L46" i="29"/>
  <c r="G349" i="1"/>
  <c r="H46" i="29" s="1"/>
  <c r="E342" i="1"/>
  <c r="P342" i="1"/>
  <c r="L342" i="1"/>
  <c r="H342" i="1"/>
  <c r="Q342" i="1"/>
  <c r="S342" i="1"/>
  <c r="O342" i="1"/>
  <c r="K342" i="1"/>
  <c r="G342" i="1"/>
  <c r="D321" i="1" l="1"/>
  <c r="D315" i="1"/>
  <c r="D313" i="1" s="1"/>
  <c r="P102" i="14"/>
  <c r="E94" i="28" l="1"/>
  <c r="Q102" i="14"/>
  <c r="R102" i="14" l="1"/>
  <c r="S102" i="14" l="1"/>
  <c r="T102" i="14" l="1"/>
  <c r="L70" i="14" l="1"/>
  <c r="M70" i="14" s="1"/>
  <c r="N70" i="14" s="1"/>
  <c r="O70" i="14" s="1"/>
  <c r="P70" i="14" s="1"/>
  <c r="Q70" i="14" s="1"/>
  <c r="R70" i="14" s="1"/>
  <c r="S70" i="14" s="1"/>
  <c r="T70" i="14" s="1"/>
  <c r="L69" i="14"/>
  <c r="M69" i="14" s="1"/>
  <c r="N69" i="14" s="1"/>
  <c r="O69" i="14" s="1"/>
  <c r="P69" i="14" s="1"/>
  <c r="Q69" i="14" s="1"/>
  <c r="R69" i="14" s="1"/>
  <c r="S69" i="14" s="1"/>
  <c r="T69" i="14" s="1"/>
  <c r="K323" i="1"/>
  <c r="L14" i="28" s="1"/>
  <c r="E323" i="1"/>
  <c r="F14" i="28" s="1"/>
  <c r="F323" i="1"/>
  <c r="G14" i="28" s="1"/>
  <c r="I323" i="1"/>
  <c r="J14" i="28" s="1"/>
  <c r="M323" i="1"/>
  <c r="N14" i="28" s="1"/>
  <c r="N323" i="1"/>
  <c r="O14" i="28" s="1"/>
  <c r="Q323" i="1"/>
  <c r="R14" i="28" s="1"/>
  <c r="R323" i="1"/>
  <c r="S14" i="28" s="1"/>
  <c r="D323" i="1"/>
  <c r="E14" i="28" s="1"/>
  <c r="D320" i="1"/>
  <c r="E98" i="28" l="1"/>
  <c r="E46" i="28"/>
  <c r="E22" i="28"/>
  <c r="S323" i="1"/>
  <c r="T14" i="28" s="1"/>
  <c r="G323" i="1"/>
  <c r="H14" i="28" s="1"/>
  <c r="O323" i="1"/>
  <c r="P14" i="28" s="1"/>
  <c r="J323" i="1"/>
  <c r="K14" i="28" s="1"/>
  <c r="H323" i="1"/>
  <c r="I14" i="28" s="1"/>
  <c r="P323" i="1"/>
  <c r="Q14" i="28" s="1"/>
  <c r="L323" i="1"/>
  <c r="M14" i="28" s="1"/>
  <c r="H58" i="1" l="1"/>
  <c r="H54" i="1"/>
  <c r="H53" i="1"/>
  <c r="G54" i="1"/>
  <c r="G53" i="1"/>
  <c r="F54" i="1"/>
  <c r="F53" i="1"/>
  <c r="F58" i="1"/>
  <c r="E54" i="1"/>
  <c r="E53" i="1"/>
  <c r="O151" i="1"/>
  <c r="O150" i="1"/>
  <c r="O146" i="1"/>
  <c r="O145" i="1"/>
  <c r="N150" i="1"/>
  <c r="N146" i="1"/>
  <c r="N145" i="1"/>
  <c r="O137" i="1"/>
  <c r="O136" i="1"/>
  <c r="O132" i="1"/>
  <c r="O131" i="1"/>
  <c r="N136" i="1"/>
  <c r="N132" i="1"/>
  <c r="N131" i="1"/>
  <c r="H56" i="1" l="1"/>
  <c r="N148" i="1"/>
  <c r="O134" i="1"/>
  <c r="O148" i="1"/>
  <c r="G56" i="1"/>
  <c r="E56" i="1"/>
  <c r="N134" i="1"/>
  <c r="F56" i="1"/>
  <c r="F55" i="1"/>
  <c r="O133" i="1"/>
  <c r="E55" i="1"/>
  <c r="H55" i="1"/>
  <c r="N147" i="1"/>
  <c r="O147" i="1"/>
  <c r="G55" i="1"/>
  <c r="N133" i="1"/>
  <c r="G57" i="1"/>
  <c r="O149" i="1"/>
  <c r="E57" i="1"/>
  <c r="N135" i="1"/>
  <c r="N149" i="1"/>
  <c r="F57" i="1"/>
  <c r="O135" i="1"/>
  <c r="H57" i="1"/>
  <c r="N137" i="1"/>
  <c r="G59" i="1"/>
  <c r="E23" i="29" s="1"/>
  <c r="N151" i="1"/>
  <c r="E229" i="1"/>
  <c r="T9" i="29" l="1"/>
  <c r="S9" i="29"/>
  <c r="R9" i="29"/>
  <c r="Q9" i="29"/>
  <c r="P9" i="29"/>
  <c r="O9" i="29"/>
  <c r="N9" i="29"/>
  <c r="M9" i="29"/>
  <c r="L9" i="29"/>
  <c r="K9" i="29"/>
  <c r="J9" i="29"/>
  <c r="I9" i="29"/>
  <c r="H9" i="29"/>
  <c r="G9" i="29"/>
  <c r="F9" i="29"/>
  <c r="E9" i="29"/>
  <c r="T9" i="28"/>
  <c r="S9" i="28"/>
  <c r="R9" i="28"/>
  <c r="Q9" i="28"/>
  <c r="P9" i="28"/>
  <c r="O9" i="28"/>
  <c r="N9" i="28"/>
  <c r="M9" i="28"/>
  <c r="L9" i="28"/>
  <c r="K9" i="28"/>
  <c r="J9" i="28"/>
  <c r="I9" i="28"/>
  <c r="H9" i="28"/>
  <c r="G9" i="28"/>
  <c r="F9" i="28"/>
  <c r="E9" i="28"/>
  <c r="T9" i="17"/>
  <c r="S9" i="17"/>
  <c r="R9" i="17"/>
  <c r="Q9" i="17"/>
  <c r="P9" i="17"/>
  <c r="O9" i="17"/>
  <c r="N9" i="17"/>
  <c r="M9" i="17"/>
  <c r="L9" i="17"/>
  <c r="K9" i="17"/>
  <c r="J9" i="17"/>
  <c r="I9" i="17"/>
  <c r="H9" i="17"/>
  <c r="G9" i="17"/>
  <c r="F9" i="17"/>
  <c r="E9" i="17"/>
  <c r="F9" i="30"/>
  <c r="G9" i="30"/>
  <c r="H9" i="30"/>
  <c r="I9" i="30"/>
  <c r="J9" i="30"/>
  <c r="K9" i="30"/>
  <c r="L9" i="30"/>
  <c r="M9" i="30"/>
  <c r="N9" i="30"/>
  <c r="O9" i="30"/>
  <c r="P9" i="30"/>
  <c r="Q9" i="30"/>
  <c r="R9" i="30"/>
  <c r="S9" i="30"/>
  <c r="T9" i="30"/>
  <c r="E9" i="30"/>
  <c r="D352" i="1" l="1"/>
  <c r="E14" i="29" l="1"/>
  <c r="E102" i="29"/>
  <c r="Q352" i="1"/>
  <c r="M352" i="1"/>
  <c r="I352" i="1"/>
  <c r="E352" i="1"/>
  <c r="F106" i="29" s="1"/>
  <c r="S352" i="1"/>
  <c r="O352" i="1"/>
  <c r="P106" i="29" s="1"/>
  <c r="K352" i="1"/>
  <c r="G352" i="1"/>
  <c r="R352" i="1"/>
  <c r="P352" i="1"/>
  <c r="L352" i="1"/>
  <c r="H352" i="1"/>
  <c r="N352" i="1"/>
  <c r="J352" i="1"/>
  <c r="F352" i="1"/>
  <c r="E106" i="29"/>
  <c r="P102" i="29"/>
  <c r="N102" i="29" l="1"/>
  <c r="I106" i="29"/>
  <c r="I14" i="29"/>
  <c r="G102" i="29"/>
  <c r="H102" i="29"/>
  <c r="T102" i="29"/>
  <c r="T106" i="29"/>
  <c r="T14" i="29"/>
  <c r="J106" i="29"/>
  <c r="J14" i="29"/>
  <c r="F102" i="29"/>
  <c r="R102" i="29"/>
  <c r="M106" i="29"/>
  <c r="M14" i="29"/>
  <c r="K102" i="29"/>
  <c r="I102" i="29"/>
  <c r="H106" i="29"/>
  <c r="H14" i="29"/>
  <c r="M102" i="29"/>
  <c r="N106" i="29"/>
  <c r="N14" i="29"/>
  <c r="G106" i="29"/>
  <c r="G14" i="29"/>
  <c r="K106" i="29"/>
  <c r="K14" i="29"/>
  <c r="Q106" i="29"/>
  <c r="Q14" i="29"/>
  <c r="O102" i="29"/>
  <c r="L102" i="29"/>
  <c r="L106" i="29"/>
  <c r="L14" i="29"/>
  <c r="Q102" i="29"/>
  <c r="R106" i="29"/>
  <c r="R14" i="29"/>
  <c r="J102" i="29"/>
  <c r="O106" i="29"/>
  <c r="O14" i="29"/>
  <c r="S106" i="29"/>
  <c r="S14" i="29"/>
  <c r="S102" i="29"/>
  <c r="P14" i="29"/>
  <c r="F14" i="29"/>
  <c r="D235" i="1" l="1"/>
  <c r="E235" i="1"/>
  <c r="F106" i="17" l="1"/>
  <c r="G106" i="17"/>
  <c r="H106" i="17"/>
  <c r="I106" i="17"/>
  <c r="J106" i="17"/>
  <c r="K106" i="17"/>
  <c r="L106" i="17"/>
  <c r="M106" i="17"/>
  <c r="N106" i="17"/>
  <c r="O106" i="17"/>
  <c r="P106" i="17"/>
  <c r="Q106" i="17"/>
  <c r="R106" i="17"/>
  <c r="S106" i="17"/>
  <c r="T106" i="17"/>
  <c r="E106" i="17"/>
  <c r="F106" i="30"/>
  <c r="G106" i="30"/>
  <c r="H106" i="30"/>
  <c r="I106" i="30"/>
  <c r="J106" i="30"/>
  <c r="K106" i="30"/>
  <c r="L106" i="30"/>
  <c r="M106" i="30"/>
  <c r="N106" i="30"/>
  <c r="O106" i="30"/>
  <c r="P106" i="30"/>
  <c r="Q106" i="30"/>
  <c r="R106" i="30"/>
  <c r="S106" i="30"/>
  <c r="T106" i="30"/>
  <c r="E106" i="30"/>
  <c r="Q40" i="29" l="1"/>
  <c r="P40" i="30"/>
  <c r="L40" i="30"/>
  <c r="R40" i="29"/>
  <c r="G40" i="30"/>
  <c r="S40" i="17"/>
  <c r="S40" i="28"/>
  <c r="S40" i="29"/>
  <c r="F40" i="30"/>
  <c r="T40" i="17"/>
  <c r="T40" i="28"/>
  <c r="T40" i="29"/>
  <c r="I40" i="30"/>
  <c r="Q40" i="17"/>
  <c r="Q40" i="28"/>
  <c r="M40" i="29"/>
  <c r="M40" i="28" l="1"/>
  <c r="M40" i="30"/>
  <c r="P40" i="28"/>
  <c r="J40" i="30"/>
  <c r="O40" i="29"/>
  <c r="O40" i="17"/>
  <c r="N40" i="29"/>
  <c r="F40" i="29"/>
  <c r="I40" i="29"/>
  <c r="I40" i="28"/>
  <c r="I40" i="17"/>
  <c r="Q40" i="30"/>
  <c r="L40" i="29"/>
  <c r="L40" i="28"/>
  <c r="L40" i="17"/>
  <c r="N40" i="30"/>
  <c r="K40" i="29"/>
  <c r="K40" i="28"/>
  <c r="K40" i="17"/>
  <c r="O40" i="30"/>
  <c r="N40" i="28"/>
  <c r="J40" i="28"/>
  <c r="F40" i="28"/>
  <c r="M40" i="17"/>
  <c r="P40" i="29"/>
  <c r="P40" i="17"/>
  <c r="O40" i="28"/>
  <c r="K40" i="30"/>
  <c r="H40" i="30"/>
  <c r="E40" i="29"/>
  <c r="E40" i="28"/>
  <c r="E40" i="17"/>
  <c r="E40" i="30"/>
  <c r="H40" i="29"/>
  <c r="H40" i="28"/>
  <c r="H40" i="17"/>
  <c r="R40" i="30"/>
  <c r="G40" i="29"/>
  <c r="G40" i="28"/>
  <c r="G40" i="17"/>
  <c r="S40" i="30"/>
  <c r="N40" i="17"/>
  <c r="J40" i="17"/>
  <c r="F40" i="17"/>
  <c r="J40" i="29"/>
  <c r="R40" i="17"/>
  <c r="T40" i="30"/>
  <c r="R40" i="28"/>
  <c r="F49" i="30"/>
  <c r="G49" i="30"/>
  <c r="H49" i="30"/>
  <c r="I49" i="30"/>
  <c r="J49" i="30"/>
  <c r="K49" i="30"/>
  <c r="L49" i="30"/>
  <c r="M49" i="30"/>
  <c r="N49" i="30"/>
  <c r="O49" i="30"/>
  <c r="P49" i="30"/>
  <c r="Q49" i="30"/>
  <c r="R49" i="30"/>
  <c r="S49" i="30"/>
  <c r="T49" i="30"/>
  <c r="E49" i="30"/>
  <c r="F116" i="30" l="1"/>
  <c r="G116" i="30"/>
  <c r="H116" i="30"/>
  <c r="I116" i="30"/>
  <c r="J116" i="30"/>
  <c r="K116" i="30"/>
  <c r="L116" i="30"/>
  <c r="M116" i="30"/>
  <c r="N116" i="30"/>
  <c r="O116" i="30"/>
  <c r="P116" i="30"/>
  <c r="Q116" i="30"/>
  <c r="R116" i="30"/>
  <c r="S116" i="30"/>
  <c r="T116" i="30"/>
  <c r="E116" i="30"/>
  <c r="F112" i="30"/>
  <c r="F112" i="17" s="1"/>
  <c r="G112" i="30"/>
  <c r="G112" i="17" s="1"/>
  <c r="H112" i="30"/>
  <c r="H112" i="17" s="1"/>
  <c r="I112" i="30"/>
  <c r="I112" i="17" s="1"/>
  <c r="J112" i="30"/>
  <c r="J112" i="17" s="1"/>
  <c r="K112" i="30"/>
  <c r="K112" i="17" s="1"/>
  <c r="L112" i="30"/>
  <c r="L112" i="17" s="1"/>
  <c r="M112" i="30"/>
  <c r="M112" i="17" s="1"/>
  <c r="N112" i="30"/>
  <c r="N112" i="17" s="1"/>
  <c r="O112" i="30"/>
  <c r="O112" i="17" s="1"/>
  <c r="P112" i="30"/>
  <c r="P112" i="17" s="1"/>
  <c r="Q112" i="30"/>
  <c r="Q112" i="17" s="1"/>
  <c r="R112" i="30"/>
  <c r="R112" i="17" s="1"/>
  <c r="S112" i="30"/>
  <c r="S112" i="17" s="1"/>
  <c r="T112" i="30"/>
  <c r="T112" i="17" s="1"/>
  <c r="E112" i="30"/>
  <c r="E112" i="17" s="1"/>
  <c r="T102" i="30" l="1"/>
  <c r="P102" i="30"/>
  <c r="L102" i="30"/>
  <c r="H102" i="30"/>
  <c r="S102" i="30"/>
  <c r="O102" i="30"/>
  <c r="K102" i="30"/>
  <c r="G102" i="30"/>
  <c r="N102" i="30"/>
  <c r="J102" i="30"/>
  <c r="F102" i="30"/>
  <c r="R102" i="30"/>
  <c r="E102" i="30"/>
  <c r="Q102" i="30"/>
  <c r="M102" i="30"/>
  <c r="I102" i="30"/>
  <c r="D5" i="14" l="1"/>
  <c r="E7" i="14"/>
  <c r="E13" i="14" s="1"/>
  <c r="F13" i="14" s="1"/>
  <c r="G13" i="14" s="1"/>
  <c r="H13" i="14" s="1"/>
  <c r="I13" i="14" s="1"/>
  <c r="J13" i="14" s="1"/>
  <c r="K13" i="14" s="1"/>
  <c r="L13" i="14" s="1"/>
  <c r="M13" i="14" s="1"/>
  <c r="N13" i="14" s="1"/>
  <c r="O13" i="14" s="1"/>
  <c r="P13" i="14" s="1"/>
  <c r="Q13" i="14" s="1"/>
  <c r="R13" i="14" s="1"/>
  <c r="S13" i="14" s="1"/>
  <c r="T13" i="14" s="1"/>
  <c r="P5" i="14"/>
  <c r="L5" i="14"/>
  <c r="S5" i="14"/>
  <c r="R5" i="14"/>
  <c r="O5" i="14"/>
  <c r="N5" i="14"/>
  <c r="K5" i="14"/>
  <c r="J5" i="14"/>
  <c r="G5" i="14"/>
  <c r="F5" i="14"/>
  <c r="E1" i="14"/>
  <c r="F7" i="14" s="1"/>
  <c r="S246" i="1"/>
  <c r="R246" i="1"/>
  <c r="Q246" i="1"/>
  <c r="P246" i="1"/>
  <c r="O246" i="1"/>
  <c r="N246" i="1"/>
  <c r="M246" i="1"/>
  <c r="L246" i="1"/>
  <c r="K246" i="1"/>
  <c r="J246" i="1"/>
  <c r="I246" i="1"/>
  <c r="H246" i="1"/>
  <c r="G246" i="1"/>
  <c r="F246" i="1"/>
  <c r="E246" i="1"/>
  <c r="D246" i="1"/>
  <c r="D263" i="1" s="1"/>
  <c r="E94" i="30" l="1"/>
  <c r="F263" i="1"/>
  <c r="I263" i="1"/>
  <c r="K263" i="1"/>
  <c r="L263" i="1"/>
  <c r="G245" i="1"/>
  <c r="G243" i="1" s="1"/>
  <c r="K245" i="1"/>
  <c r="K243" i="1" s="1"/>
  <c r="O245" i="1"/>
  <c r="O243" i="1" s="1"/>
  <c r="S245" i="1"/>
  <c r="S243" i="1" s="1"/>
  <c r="H245" i="1"/>
  <c r="H243" i="1" s="1"/>
  <c r="L245" i="1"/>
  <c r="L243" i="1" s="1"/>
  <c r="P245" i="1"/>
  <c r="P243" i="1" s="1"/>
  <c r="E245" i="1"/>
  <c r="E243" i="1" s="1"/>
  <c r="I245" i="1"/>
  <c r="I243" i="1" s="1"/>
  <c r="M245" i="1"/>
  <c r="M243" i="1" s="1"/>
  <c r="Q245" i="1"/>
  <c r="Q243" i="1" s="1"/>
  <c r="F245" i="1"/>
  <c r="F243" i="1" s="1"/>
  <c r="J245" i="1"/>
  <c r="J243" i="1" s="1"/>
  <c r="N245" i="1"/>
  <c r="N243" i="1" s="1"/>
  <c r="R245" i="1"/>
  <c r="R243" i="1" s="1"/>
  <c r="F1" i="14"/>
  <c r="G7" i="14" s="1"/>
  <c r="D245" i="1"/>
  <c r="D243" i="1" s="1"/>
  <c r="F48" i="30"/>
  <c r="L48" i="30"/>
  <c r="T48" i="30"/>
  <c r="I48" i="30"/>
  <c r="Q48" i="30"/>
  <c r="J48" i="30"/>
  <c r="N48" i="30"/>
  <c r="R48" i="30"/>
  <c r="H48" i="30"/>
  <c r="P48" i="30"/>
  <c r="M48" i="30"/>
  <c r="G48" i="30"/>
  <c r="K48" i="30"/>
  <c r="O48" i="30"/>
  <c r="S48" i="30"/>
  <c r="O11" i="14"/>
  <c r="O16" i="14" s="1"/>
  <c r="O111" i="30" s="1"/>
  <c r="F235" i="1"/>
  <c r="J235" i="1"/>
  <c r="N235" i="1"/>
  <c r="R235" i="1"/>
  <c r="I235" i="1"/>
  <c r="M235" i="1"/>
  <c r="Q235" i="1"/>
  <c r="G235" i="1"/>
  <c r="K235" i="1"/>
  <c r="O235" i="1"/>
  <c r="S235" i="1"/>
  <c r="S11" i="14"/>
  <c r="S16" i="14" s="1"/>
  <c r="S111" i="30" s="1"/>
  <c r="E11" i="14"/>
  <c r="E16" i="14" s="1"/>
  <c r="E111" i="30" s="1"/>
  <c r="I11" i="14"/>
  <c r="I16" i="14" s="1"/>
  <c r="I111" i="30" s="1"/>
  <c r="G11" i="14"/>
  <c r="G16" i="14" s="1"/>
  <c r="G111" i="30" s="1"/>
  <c r="F11" i="14"/>
  <c r="F16" i="14" s="1"/>
  <c r="F111" i="30" s="1"/>
  <c r="J11" i="14"/>
  <c r="J16" i="14" s="1"/>
  <c r="J111" i="30" s="1"/>
  <c r="N11" i="14"/>
  <c r="N16" i="14" s="1"/>
  <c r="N111" i="30" s="1"/>
  <c r="R11" i="14"/>
  <c r="R16" i="14" s="1"/>
  <c r="R111" i="30" s="1"/>
  <c r="K11" i="14"/>
  <c r="K16" i="14" s="1"/>
  <c r="K111" i="30" s="1"/>
  <c r="H5" i="14"/>
  <c r="M11" i="14"/>
  <c r="M16" i="14" s="1"/>
  <c r="M111" i="30" s="1"/>
  <c r="G1" i="14"/>
  <c r="E5" i="14"/>
  <c r="I5" i="14"/>
  <c r="M5" i="14"/>
  <c r="Q5" i="14"/>
  <c r="H11" i="14"/>
  <c r="H16" i="14" s="1"/>
  <c r="H111" i="30" s="1"/>
  <c r="L11" i="14"/>
  <c r="L16" i="14" s="1"/>
  <c r="L111" i="30" s="1"/>
  <c r="P11" i="14"/>
  <c r="P16" i="14" s="1"/>
  <c r="P111" i="30" s="1"/>
  <c r="T11" i="14"/>
  <c r="T16" i="14" s="1"/>
  <c r="T111" i="30" s="1"/>
  <c r="Q11" i="14"/>
  <c r="Q16" i="14" s="1"/>
  <c r="Q111" i="30" s="1"/>
  <c r="H235" i="1"/>
  <c r="L235" i="1"/>
  <c r="P235" i="1"/>
  <c r="G94" i="30" l="1"/>
  <c r="L47" i="30"/>
  <c r="L94" i="30"/>
  <c r="J47" i="30"/>
  <c r="J94" i="30"/>
  <c r="G47" i="30"/>
  <c r="H263" i="1"/>
  <c r="O262" i="1"/>
  <c r="O234" i="1"/>
  <c r="G263" i="1"/>
  <c r="E262" i="1"/>
  <c r="E234" i="1"/>
  <c r="S263" i="1"/>
  <c r="I262" i="1"/>
  <c r="J22" i="30" s="1"/>
  <c r="I234" i="1"/>
  <c r="Q263" i="1"/>
  <c r="P262" i="1"/>
  <c r="P234" i="1"/>
  <c r="D234" i="1"/>
  <c r="D262" i="1"/>
  <c r="J262" i="1"/>
  <c r="J234" i="1"/>
  <c r="E263" i="1"/>
  <c r="F234" i="1"/>
  <c r="F262" i="1"/>
  <c r="G22" i="30" s="1"/>
  <c r="R234" i="1"/>
  <c r="R262" i="1"/>
  <c r="P263" i="1"/>
  <c r="H262" i="1"/>
  <c r="H234" i="1"/>
  <c r="O263" i="1"/>
  <c r="G234" i="1"/>
  <c r="G262" i="1"/>
  <c r="N262" i="1"/>
  <c r="N234" i="1"/>
  <c r="J263" i="1"/>
  <c r="S262" i="1"/>
  <c r="S234" i="1"/>
  <c r="R263" i="1"/>
  <c r="M234" i="1"/>
  <c r="M262" i="1"/>
  <c r="L262" i="1"/>
  <c r="M22" i="30" s="1"/>
  <c r="L234" i="1"/>
  <c r="K262" i="1"/>
  <c r="K234" i="1"/>
  <c r="N263" i="1"/>
  <c r="Q234" i="1"/>
  <c r="Q262" i="1"/>
  <c r="M263" i="1"/>
  <c r="E47" i="30"/>
  <c r="M94" i="30"/>
  <c r="E48" i="30"/>
  <c r="M47" i="30"/>
  <c r="H7" i="14"/>
  <c r="H1" i="14"/>
  <c r="D257" i="1"/>
  <c r="D255" i="1" s="1"/>
  <c r="F191" i="17"/>
  <c r="G191" i="17" s="1"/>
  <c r="H191" i="17" s="1"/>
  <c r="I191" i="17" s="1"/>
  <c r="J191" i="17" s="1"/>
  <c r="K191" i="17" s="1"/>
  <c r="L191" i="17" s="1"/>
  <c r="M191" i="17" s="1"/>
  <c r="N191" i="17" s="1"/>
  <c r="O191" i="17" s="1"/>
  <c r="P191" i="17" s="1"/>
  <c r="Q191" i="17" s="1"/>
  <c r="R191" i="17" s="1"/>
  <c r="S191" i="17" s="1"/>
  <c r="T191" i="17" s="1"/>
  <c r="E185" i="17"/>
  <c r="S174" i="17"/>
  <c r="S181" i="17" s="1"/>
  <c r="R174" i="17"/>
  <c r="R181" i="17" s="1"/>
  <c r="Q174" i="17"/>
  <c r="Q181" i="17" s="1"/>
  <c r="P174" i="17"/>
  <c r="P181" i="17" s="1"/>
  <c r="O174" i="17"/>
  <c r="O181" i="17" s="1"/>
  <c r="N174" i="17"/>
  <c r="N181" i="17" s="1"/>
  <c r="M174" i="17"/>
  <c r="M181" i="17" s="1"/>
  <c r="L174" i="17"/>
  <c r="L181" i="17" s="1"/>
  <c r="K174" i="17"/>
  <c r="K181" i="17" s="1"/>
  <c r="J174" i="17"/>
  <c r="J181" i="17" s="1"/>
  <c r="I174" i="17"/>
  <c r="I181" i="17" s="1"/>
  <c r="H174" i="17"/>
  <c r="H181" i="17" s="1"/>
  <c r="G174" i="17"/>
  <c r="G181" i="17" s="1"/>
  <c r="F174" i="17"/>
  <c r="F181" i="17" s="1"/>
  <c r="E174" i="17"/>
  <c r="E181" i="17" s="1"/>
  <c r="T169" i="17"/>
  <c r="S169" i="17"/>
  <c r="R169" i="17"/>
  <c r="Q169" i="17"/>
  <c r="P169" i="17"/>
  <c r="O169" i="17"/>
  <c r="N169" i="17"/>
  <c r="M169" i="17"/>
  <c r="L169" i="17"/>
  <c r="K169" i="17"/>
  <c r="J169" i="17"/>
  <c r="I169" i="17"/>
  <c r="H169" i="17"/>
  <c r="G169" i="17"/>
  <c r="F169" i="17"/>
  <c r="E169" i="17"/>
  <c r="T168" i="17"/>
  <c r="S168" i="17"/>
  <c r="R168" i="17"/>
  <c r="Q168" i="17"/>
  <c r="P168" i="17"/>
  <c r="O168" i="17"/>
  <c r="N168" i="17"/>
  <c r="M168" i="17"/>
  <c r="L168" i="17"/>
  <c r="K168" i="17"/>
  <c r="J168" i="17"/>
  <c r="I168" i="17"/>
  <c r="H168" i="17"/>
  <c r="G168" i="17"/>
  <c r="F168" i="17"/>
  <c r="E168" i="17"/>
  <c r="T167" i="17"/>
  <c r="S167" i="17"/>
  <c r="R167" i="17"/>
  <c r="Q167" i="17"/>
  <c r="P167" i="17"/>
  <c r="O167" i="17"/>
  <c r="N167" i="17"/>
  <c r="M167" i="17"/>
  <c r="L167" i="17"/>
  <c r="K167" i="17"/>
  <c r="J167" i="17"/>
  <c r="I167" i="17"/>
  <c r="H167" i="17"/>
  <c r="G167" i="17"/>
  <c r="F167" i="17"/>
  <c r="E167" i="17"/>
  <c r="F160" i="17"/>
  <c r="G160" i="17" s="1"/>
  <c r="E158" i="17"/>
  <c r="F158" i="17" s="1"/>
  <c r="D153" i="17"/>
  <c r="D151" i="17"/>
  <c r="F149" i="17"/>
  <c r="G149" i="17" s="1"/>
  <c r="H149" i="17" s="1"/>
  <c r="I149" i="17" s="1"/>
  <c r="J149" i="17" s="1"/>
  <c r="K149" i="17" s="1"/>
  <c r="L149" i="17" s="1"/>
  <c r="M149" i="17" s="1"/>
  <c r="N149" i="17" s="1"/>
  <c r="O149" i="17" s="1"/>
  <c r="P149" i="17" s="1"/>
  <c r="Q149" i="17" s="1"/>
  <c r="R149" i="17" s="1"/>
  <c r="S149" i="17" s="1"/>
  <c r="T149" i="17" s="1"/>
  <c r="U149" i="17" s="1"/>
  <c r="E144" i="17"/>
  <c r="T141" i="17"/>
  <c r="S141" i="17"/>
  <c r="R141" i="17"/>
  <c r="Q141" i="17"/>
  <c r="P141" i="17"/>
  <c r="O141" i="17"/>
  <c r="N141" i="17"/>
  <c r="M141" i="17"/>
  <c r="L141" i="17"/>
  <c r="K141" i="17"/>
  <c r="J141" i="17"/>
  <c r="I141" i="17"/>
  <c r="H141" i="17"/>
  <c r="G141" i="17"/>
  <c r="F141" i="17"/>
  <c r="E141" i="17"/>
  <c r="F132" i="17"/>
  <c r="G132" i="17" s="1"/>
  <c r="D126" i="17"/>
  <c r="D154" i="17" s="1"/>
  <c r="D125" i="17"/>
  <c r="D123" i="17"/>
  <c r="F121" i="17"/>
  <c r="G121" i="17" s="1"/>
  <c r="H121" i="17" s="1"/>
  <c r="I121" i="17" s="1"/>
  <c r="J121" i="17" s="1"/>
  <c r="K121" i="17" s="1"/>
  <c r="L121" i="17" s="1"/>
  <c r="M121" i="17" s="1"/>
  <c r="N121" i="17" s="1"/>
  <c r="O121" i="17" s="1"/>
  <c r="P121" i="17" s="1"/>
  <c r="Q121" i="17" s="1"/>
  <c r="R121" i="17" s="1"/>
  <c r="S121" i="17" s="1"/>
  <c r="T121" i="17" s="1"/>
  <c r="I115" i="28"/>
  <c r="T113" i="30"/>
  <c r="S113" i="30"/>
  <c r="P113" i="30"/>
  <c r="O113" i="30"/>
  <c r="N113" i="30"/>
  <c r="M115" i="29"/>
  <c r="M113" i="29" s="1"/>
  <c r="L113" i="30"/>
  <c r="K115" i="28"/>
  <c r="J113" i="30"/>
  <c r="I115" i="29"/>
  <c r="I113" i="29" s="1"/>
  <c r="H113" i="30"/>
  <c r="F115" i="28"/>
  <c r="E115" i="29"/>
  <c r="E113" i="29" s="1"/>
  <c r="D115" i="30"/>
  <c r="D114" i="30"/>
  <c r="R113" i="30"/>
  <c r="Q113" i="30"/>
  <c r="M113" i="30"/>
  <c r="K113" i="30"/>
  <c r="I113" i="30"/>
  <c r="G113" i="30"/>
  <c r="E113" i="30"/>
  <c r="E44" i="30"/>
  <c r="E5" i="30"/>
  <c r="F123" i="30" s="1"/>
  <c r="F126" i="30" s="1"/>
  <c r="F129" i="30" s="1"/>
  <c r="F132" i="30" s="1"/>
  <c r="F2" i="30"/>
  <c r="G2" i="30" s="1"/>
  <c r="H2" i="30" s="1"/>
  <c r="I2" i="30" s="1"/>
  <c r="J2" i="30" s="1"/>
  <c r="K2" i="30" s="1"/>
  <c r="L2" i="30" s="1"/>
  <c r="M2" i="30" s="1"/>
  <c r="N2" i="30" s="1"/>
  <c r="O2" i="30" s="1"/>
  <c r="P2" i="30" s="1"/>
  <c r="Q2" i="30" s="1"/>
  <c r="R2" i="30" s="1"/>
  <c r="S2" i="30" s="1"/>
  <c r="T2" i="30" s="1"/>
  <c r="K47" i="30" l="1"/>
  <c r="K94" i="30"/>
  <c r="K98" i="30"/>
  <c r="Q94" i="30"/>
  <c r="E22" i="30"/>
  <c r="E98" i="30"/>
  <c r="R47" i="30"/>
  <c r="L98" i="30"/>
  <c r="S94" i="30"/>
  <c r="P94" i="30"/>
  <c r="F94" i="30"/>
  <c r="F98" i="30"/>
  <c r="I47" i="30"/>
  <c r="I94" i="30"/>
  <c r="I98" i="30"/>
  <c r="G98" i="30"/>
  <c r="O94" i="30"/>
  <c r="H94" i="30"/>
  <c r="H98" i="30"/>
  <c r="N94" i="30"/>
  <c r="T94" i="30"/>
  <c r="J98" i="30"/>
  <c r="E56" i="30"/>
  <c r="S46" i="30"/>
  <c r="S22" i="30"/>
  <c r="O46" i="30"/>
  <c r="O22" i="30"/>
  <c r="F46" i="30"/>
  <c r="F22" i="30"/>
  <c r="N46" i="30"/>
  <c r="N22" i="30"/>
  <c r="T46" i="30"/>
  <c r="T22" i="30"/>
  <c r="H46" i="30"/>
  <c r="H22" i="30"/>
  <c r="I46" i="30"/>
  <c r="I22" i="30"/>
  <c r="K46" i="30"/>
  <c r="K22" i="30"/>
  <c r="Q46" i="30"/>
  <c r="Q22" i="30"/>
  <c r="R46" i="30"/>
  <c r="R22" i="30"/>
  <c r="L22" i="30"/>
  <c r="P46" i="30"/>
  <c r="P22" i="30"/>
  <c r="R94" i="30"/>
  <c r="S47" i="30"/>
  <c r="T47" i="30"/>
  <c r="L46" i="30"/>
  <c r="G46" i="30"/>
  <c r="S98" i="30"/>
  <c r="Q98" i="30"/>
  <c r="Q47" i="30"/>
  <c r="E46" i="30"/>
  <c r="R98" i="30"/>
  <c r="T98" i="30"/>
  <c r="H47" i="30"/>
  <c r="O47" i="30"/>
  <c r="O98" i="30"/>
  <c r="M46" i="30"/>
  <c r="M98" i="30"/>
  <c r="P98" i="30"/>
  <c r="P47" i="30"/>
  <c r="F47" i="30"/>
  <c r="N47" i="30"/>
  <c r="N98" i="30"/>
  <c r="J46" i="30"/>
  <c r="M115" i="28"/>
  <c r="F113" i="30"/>
  <c r="I1" i="14"/>
  <c r="I7" i="14"/>
  <c r="E115" i="28"/>
  <c r="D116" i="30"/>
  <c r="K115" i="29"/>
  <c r="K113" i="29" s="1"/>
  <c r="J115" i="28"/>
  <c r="H115" i="29"/>
  <c r="H113" i="29" s="1"/>
  <c r="L115" i="29"/>
  <c r="L113" i="29" s="1"/>
  <c r="G115" i="28"/>
  <c r="F115" i="29"/>
  <c r="F113" i="29" s="1"/>
  <c r="J115" i="29"/>
  <c r="J113" i="29" s="1"/>
  <c r="D112" i="30"/>
  <c r="G115" i="29"/>
  <c r="G113" i="29" s="1"/>
  <c r="H115" i="28"/>
  <c r="L115" i="28"/>
  <c r="H132" i="17"/>
  <c r="G158" i="17"/>
  <c r="H160" i="17"/>
  <c r="F5" i="30"/>
  <c r="D113" i="30"/>
  <c r="T112" i="29"/>
  <c r="S112" i="29"/>
  <c r="R112" i="29"/>
  <c r="Q112" i="29"/>
  <c r="P112" i="29"/>
  <c r="O112" i="29"/>
  <c r="N112" i="29"/>
  <c r="M112" i="29"/>
  <c r="L112" i="29"/>
  <c r="K112" i="29"/>
  <c r="J112" i="29"/>
  <c r="I112" i="29"/>
  <c r="H112" i="29"/>
  <c r="G112" i="29"/>
  <c r="F112" i="29"/>
  <c r="E112" i="29"/>
  <c r="T112" i="28"/>
  <c r="S112" i="28"/>
  <c r="R112" i="28"/>
  <c r="Q112" i="28"/>
  <c r="P112" i="28"/>
  <c r="O112" i="28"/>
  <c r="N112" i="28"/>
  <c r="M112" i="28"/>
  <c r="L112" i="28"/>
  <c r="K112" i="28"/>
  <c r="J112" i="28"/>
  <c r="I112" i="28"/>
  <c r="H112" i="28"/>
  <c r="G112" i="28"/>
  <c r="F112" i="28"/>
  <c r="E112" i="28"/>
  <c r="E57" i="30" l="1"/>
  <c r="F102" i="17"/>
  <c r="R102" i="17"/>
  <c r="F102" i="28"/>
  <c r="R102" i="28"/>
  <c r="J106" i="28"/>
  <c r="G102" i="17"/>
  <c r="K102" i="17"/>
  <c r="O102" i="17"/>
  <c r="S102" i="17"/>
  <c r="G102" i="28"/>
  <c r="K102" i="28"/>
  <c r="O102" i="28"/>
  <c r="S102" i="28"/>
  <c r="G106" i="28"/>
  <c r="K106" i="28"/>
  <c r="O106" i="28"/>
  <c r="S106" i="28"/>
  <c r="J102" i="17"/>
  <c r="J102" i="28"/>
  <c r="F106" i="28"/>
  <c r="R106" i="28"/>
  <c r="H102" i="17"/>
  <c r="L102" i="17"/>
  <c r="P102" i="17"/>
  <c r="T102" i="17"/>
  <c r="H102" i="28"/>
  <c r="L102" i="28"/>
  <c r="P102" i="28"/>
  <c r="T102" i="28"/>
  <c r="H106" i="28"/>
  <c r="L106" i="28"/>
  <c r="P106" i="28"/>
  <c r="T106" i="28"/>
  <c r="N102" i="17"/>
  <c r="N102" i="28"/>
  <c r="N106" i="28"/>
  <c r="E102" i="17"/>
  <c r="I102" i="17"/>
  <c r="M102" i="17"/>
  <c r="Q102" i="17"/>
  <c r="E102" i="28"/>
  <c r="I102" i="28"/>
  <c r="M102" i="28"/>
  <c r="Q102" i="28"/>
  <c r="E106" i="28"/>
  <c r="I106" i="28"/>
  <c r="M106" i="28"/>
  <c r="Q106" i="28"/>
  <c r="J7" i="14"/>
  <c r="J1" i="14"/>
  <c r="I160" i="17"/>
  <c r="H158" i="17"/>
  <c r="I132" i="17"/>
  <c r="G123" i="30"/>
  <c r="G126" i="30" s="1"/>
  <c r="G129" i="30" s="1"/>
  <c r="G132" i="30" s="1"/>
  <c r="G5" i="30"/>
  <c r="K7" i="14" l="1"/>
  <c r="K1" i="14"/>
  <c r="J160" i="17"/>
  <c r="J132" i="17"/>
  <c r="I158" i="17"/>
  <c r="H123" i="30"/>
  <c r="H126" i="30" s="1"/>
  <c r="H129" i="30" s="1"/>
  <c r="H132" i="30" s="1"/>
  <c r="H5" i="30"/>
  <c r="E87" i="14"/>
  <c r="L7" i="14" l="1"/>
  <c r="L1" i="14"/>
  <c r="K132" i="17"/>
  <c r="K160" i="17"/>
  <c r="J158" i="17"/>
  <c r="I123" i="30"/>
  <c r="I126" i="30" s="1"/>
  <c r="I129" i="30" s="1"/>
  <c r="I132" i="30" s="1"/>
  <c r="I5" i="30"/>
  <c r="M1" i="14" l="1"/>
  <c r="M7" i="14"/>
  <c r="K158" i="17"/>
  <c r="L132" i="17"/>
  <c r="L160" i="17"/>
  <c r="J123" i="30"/>
  <c r="J126" i="30" s="1"/>
  <c r="J129" i="30" s="1"/>
  <c r="J132" i="30" s="1"/>
  <c r="J5" i="30"/>
  <c r="N1" i="14" l="1"/>
  <c r="N7" i="14"/>
  <c r="F90" i="1"/>
  <c r="F93" i="1"/>
  <c r="M132" i="17"/>
  <c r="M160" i="17"/>
  <c r="L158" i="17"/>
  <c r="K123" i="30"/>
  <c r="K126" i="30" s="1"/>
  <c r="K129" i="30" s="1"/>
  <c r="K132" i="30" s="1"/>
  <c r="K5" i="30"/>
  <c r="J93" i="1"/>
  <c r="T93" i="1"/>
  <c r="T90" i="1"/>
  <c r="O92" i="1"/>
  <c r="T92" i="1"/>
  <c r="O93" i="1"/>
  <c r="T91" i="1"/>
  <c r="J91" i="1"/>
  <c r="K91" i="1" s="1"/>
  <c r="L91" i="1" s="1"/>
  <c r="M91" i="1" s="1"/>
  <c r="J92" i="1"/>
  <c r="O90" i="1"/>
  <c r="O91" i="1"/>
  <c r="P91" i="1" s="1"/>
  <c r="Q91" i="1" s="1"/>
  <c r="R91" i="1" s="1"/>
  <c r="J90" i="1"/>
  <c r="F92" i="1"/>
  <c r="F91" i="1"/>
  <c r="G91" i="1" s="1"/>
  <c r="H91" i="1" s="1"/>
  <c r="O116" i="1"/>
  <c r="P116" i="1" s="1"/>
  <c r="Q116" i="1" s="1"/>
  <c r="R116" i="1" s="1"/>
  <c r="J116" i="1"/>
  <c r="K116" i="1" s="1"/>
  <c r="L116" i="1" s="1"/>
  <c r="M116" i="1" s="1"/>
  <c r="F116" i="1"/>
  <c r="G116" i="1" s="1"/>
  <c r="H116" i="1" s="1"/>
  <c r="T116" i="1"/>
  <c r="O7" i="14" l="1"/>
  <c r="O1" i="14"/>
  <c r="G93" i="1"/>
  <c r="K90" i="1"/>
  <c r="P92" i="1"/>
  <c r="G90" i="1"/>
  <c r="G92" i="1"/>
  <c r="K92" i="1"/>
  <c r="K93" i="1"/>
  <c r="P90" i="1"/>
  <c r="P93" i="1"/>
  <c r="N160" i="17"/>
  <c r="N132" i="17"/>
  <c r="M158" i="17"/>
  <c r="L123" i="30"/>
  <c r="L126" i="30" s="1"/>
  <c r="L129" i="30" s="1"/>
  <c r="L132" i="30" s="1"/>
  <c r="L5" i="30"/>
  <c r="P7" i="14" l="1"/>
  <c r="P1" i="14"/>
  <c r="Q93" i="1"/>
  <c r="L93" i="1"/>
  <c r="H92" i="1"/>
  <c r="H90" i="1"/>
  <c r="L90" i="1"/>
  <c r="Q90" i="1"/>
  <c r="L92" i="1"/>
  <c r="Q92" i="1"/>
  <c r="H93" i="1"/>
  <c r="O132" i="17"/>
  <c r="N158" i="17"/>
  <c r="O160" i="17"/>
  <c r="M123" i="30"/>
  <c r="M126" i="30" s="1"/>
  <c r="M129" i="30" s="1"/>
  <c r="M132" i="30" s="1"/>
  <c r="M5" i="30"/>
  <c r="Q1" i="14" l="1"/>
  <c r="Q7" i="14"/>
  <c r="R39" i="30"/>
  <c r="N39" i="30"/>
  <c r="J39" i="30"/>
  <c r="F39" i="30"/>
  <c r="P39" i="30"/>
  <c r="K39" i="30"/>
  <c r="E39" i="30"/>
  <c r="T39" i="30"/>
  <c r="O39" i="30"/>
  <c r="I39" i="30"/>
  <c r="Q39" i="30"/>
  <c r="G39" i="30"/>
  <c r="S39" i="30"/>
  <c r="M39" i="30"/>
  <c r="H39" i="30"/>
  <c r="L39" i="30"/>
  <c r="R92" i="1"/>
  <c r="M92" i="1"/>
  <c r="M90" i="1"/>
  <c r="S35" i="30"/>
  <c r="O35" i="30"/>
  <c r="K35" i="30"/>
  <c r="G35" i="30"/>
  <c r="R35" i="30"/>
  <c r="N35" i="30"/>
  <c r="J35" i="30"/>
  <c r="F35" i="30"/>
  <c r="T35" i="30"/>
  <c r="L35" i="30"/>
  <c r="Q35" i="30"/>
  <c r="I35" i="30"/>
  <c r="M35" i="30"/>
  <c r="P35" i="30"/>
  <c r="H35" i="30"/>
  <c r="E35" i="30"/>
  <c r="R90" i="1"/>
  <c r="M93" i="1"/>
  <c r="R93" i="1"/>
  <c r="R36" i="30"/>
  <c r="N36" i="30"/>
  <c r="P36" i="30"/>
  <c r="K36" i="30"/>
  <c r="G36" i="30"/>
  <c r="T36" i="30"/>
  <c r="O36" i="30"/>
  <c r="J36" i="30"/>
  <c r="F36" i="30"/>
  <c r="L36" i="30"/>
  <c r="E36" i="30"/>
  <c r="S36" i="30"/>
  <c r="I36" i="30"/>
  <c r="Q36" i="30"/>
  <c r="H36" i="30"/>
  <c r="M36" i="30"/>
  <c r="O158" i="17"/>
  <c r="P160" i="17"/>
  <c r="P132" i="17"/>
  <c r="N123" i="30"/>
  <c r="N126" i="30" s="1"/>
  <c r="N129" i="30" s="1"/>
  <c r="N132" i="30" s="1"/>
  <c r="N5" i="30"/>
  <c r="C106" i="14"/>
  <c r="C105" i="14"/>
  <c r="E91" i="14"/>
  <c r="R91" i="14"/>
  <c r="H93" i="14"/>
  <c r="L93" i="14"/>
  <c r="P93" i="14"/>
  <c r="T93" i="14"/>
  <c r="G92" i="14"/>
  <c r="Q91" i="14"/>
  <c r="F91" i="14"/>
  <c r="G91" i="14"/>
  <c r="H91" i="14"/>
  <c r="I91" i="14"/>
  <c r="J91" i="14"/>
  <c r="K91" i="14"/>
  <c r="L91" i="14"/>
  <c r="M91" i="14"/>
  <c r="N91" i="14"/>
  <c r="O91" i="14"/>
  <c r="P91" i="14"/>
  <c r="S91" i="14"/>
  <c r="T91" i="14"/>
  <c r="F92" i="14"/>
  <c r="H92" i="14"/>
  <c r="I92" i="14"/>
  <c r="J92" i="14"/>
  <c r="K92" i="14"/>
  <c r="L92" i="14"/>
  <c r="M92" i="14"/>
  <c r="N92" i="14"/>
  <c r="O92" i="14"/>
  <c r="P92" i="14"/>
  <c r="Q92" i="14"/>
  <c r="R92" i="14"/>
  <c r="S92" i="14"/>
  <c r="T92" i="14"/>
  <c r="F93" i="14"/>
  <c r="G93" i="14"/>
  <c r="I93" i="14"/>
  <c r="J93" i="14"/>
  <c r="K93" i="14"/>
  <c r="M93" i="14"/>
  <c r="N93" i="14"/>
  <c r="O93" i="14"/>
  <c r="Q93" i="14"/>
  <c r="R93" i="14"/>
  <c r="S93" i="14"/>
  <c r="E92" i="14"/>
  <c r="E93" i="14"/>
  <c r="D49" i="14"/>
  <c r="D82" i="14" s="1"/>
  <c r="B82" i="14"/>
  <c r="B89" i="14" s="1"/>
  <c r="B96" i="14" s="1"/>
  <c r="B56" i="14"/>
  <c r="B63" i="14" s="1"/>
  <c r="E94" i="14" l="1"/>
  <c r="E98" i="14" s="1"/>
  <c r="R1" i="14"/>
  <c r="R7" i="14"/>
  <c r="Q132" i="17"/>
  <c r="Q160" i="17"/>
  <c r="P158" i="17"/>
  <c r="O123" i="30"/>
  <c r="O126" i="30" s="1"/>
  <c r="O129" i="30" s="1"/>
  <c r="O132" i="30" s="1"/>
  <c r="O5" i="30"/>
  <c r="K48" i="29"/>
  <c r="Q48" i="29"/>
  <c r="M48" i="29"/>
  <c r="I48" i="29"/>
  <c r="T48" i="29"/>
  <c r="P48" i="29"/>
  <c r="L48" i="29"/>
  <c r="H48" i="29"/>
  <c r="S48" i="29"/>
  <c r="O48" i="29"/>
  <c r="G48" i="29"/>
  <c r="R48" i="29"/>
  <c r="N48" i="29"/>
  <c r="J48" i="29"/>
  <c r="F48" i="29"/>
  <c r="E49" i="28"/>
  <c r="T49" i="29"/>
  <c r="R49" i="29"/>
  <c r="N49" i="29"/>
  <c r="J49" i="29"/>
  <c r="F49" i="29"/>
  <c r="P49" i="29"/>
  <c r="L49" i="29"/>
  <c r="H49" i="29"/>
  <c r="Q49" i="29"/>
  <c r="M49" i="29"/>
  <c r="I49" i="29"/>
  <c r="R49" i="28"/>
  <c r="S49" i="29"/>
  <c r="O49" i="29"/>
  <c r="K49" i="29"/>
  <c r="G49" i="29"/>
  <c r="P94" i="14"/>
  <c r="P98" i="14" s="1"/>
  <c r="T94" i="14"/>
  <c r="T98" i="14" s="1"/>
  <c r="L94" i="14"/>
  <c r="L98" i="14" s="1"/>
  <c r="N94" i="14"/>
  <c r="N98" i="14" s="1"/>
  <c r="O94" i="14"/>
  <c r="O98" i="14" s="1"/>
  <c r="J94" i="14"/>
  <c r="J98" i="14" s="1"/>
  <c r="M94" i="14"/>
  <c r="M98" i="14" s="1"/>
  <c r="H94" i="14"/>
  <c r="H98" i="14" s="1"/>
  <c r="I94" i="14"/>
  <c r="I98" i="14" s="1"/>
  <c r="R94" i="14"/>
  <c r="R98" i="14" s="1"/>
  <c r="G87" i="14"/>
  <c r="S94" i="14"/>
  <c r="S98" i="14" s="1"/>
  <c r="K94" i="14"/>
  <c r="K98" i="14" s="1"/>
  <c r="Q94" i="14"/>
  <c r="Q98" i="14" s="1"/>
  <c r="G94" i="14"/>
  <c r="G98" i="14" s="1"/>
  <c r="F94" i="14"/>
  <c r="F98" i="14" s="1"/>
  <c r="G333" i="1"/>
  <c r="G350" i="1" s="1"/>
  <c r="H88" i="29" s="1"/>
  <c r="D333" i="1"/>
  <c r="D350" i="1" s="1"/>
  <c r="E94" i="29" l="1"/>
  <c r="E87" i="29"/>
  <c r="E77" i="29"/>
  <c r="E67" i="29"/>
  <c r="E68" i="29"/>
  <c r="E98" i="29"/>
  <c r="E78" i="29"/>
  <c r="E88" i="29"/>
  <c r="H87" i="29"/>
  <c r="H67" i="29"/>
  <c r="H94" i="29"/>
  <c r="H77" i="29"/>
  <c r="H78" i="29"/>
  <c r="H68" i="29"/>
  <c r="H98" i="29"/>
  <c r="E22" i="29"/>
  <c r="H22" i="29"/>
  <c r="H17" i="29"/>
  <c r="H20" i="29"/>
  <c r="H19" i="29"/>
  <c r="H21" i="29"/>
  <c r="H18" i="29"/>
  <c r="E17" i="29"/>
  <c r="E20" i="29"/>
  <c r="E18" i="29"/>
  <c r="E21" i="29"/>
  <c r="E19" i="29"/>
  <c r="G332" i="1"/>
  <c r="G330" i="1" s="1"/>
  <c r="D332" i="1"/>
  <c r="D330" i="1" s="1"/>
  <c r="S7" i="14"/>
  <c r="S1" i="14"/>
  <c r="T7" i="14" s="1"/>
  <c r="R160" i="17"/>
  <c r="R132" i="17"/>
  <c r="Q158" i="17"/>
  <c r="P123" i="30"/>
  <c r="P126" i="30" s="1"/>
  <c r="P129" i="30" s="1"/>
  <c r="P132" i="30" s="1"/>
  <c r="P5" i="30"/>
  <c r="L49" i="28"/>
  <c r="J49" i="28"/>
  <c r="Q49" i="28"/>
  <c r="K49" i="28"/>
  <c r="I49" i="28"/>
  <c r="T49" i="28"/>
  <c r="S49" i="28"/>
  <c r="F49" i="28"/>
  <c r="O49" i="28"/>
  <c r="P49" i="28"/>
  <c r="G49" i="28"/>
  <c r="M49" i="28"/>
  <c r="E48" i="28"/>
  <c r="H49" i="28"/>
  <c r="N49" i="28"/>
  <c r="E61" i="14"/>
  <c r="H47" i="29" l="1"/>
  <c r="R158" i="17"/>
  <c r="S132" i="17"/>
  <c r="S160" i="17"/>
  <c r="Q123" i="30"/>
  <c r="Q126" i="30" s="1"/>
  <c r="Q129" i="30" s="1"/>
  <c r="Q132" i="30" s="1"/>
  <c r="Q5" i="30"/>
  <c r="H56" i="29" l="1"/>
  <c r="H57" i="29"/>
  <c r="T132" i="17"/>
  <c r="T160" i="17"/>
  <c r="S158" i="17"/>
  <c r="R123" i="30"/>
  <c r="R126" i="30" s="1"/>
  <c r="R129" i="30" s="1"/>
  <c r="R132" i="30" s="1"/>
  <c r="R5" i="30"/>
  <c r="T158" i="17" l="1"/>
  <c r="S127" i="17"/>
  <c r="S128" i="17" s="1"/>
  <c r="S155" i="17"/>
  <c r="S156" i="17" s="1"/>
  <c r="S123" i="30"/>
  <c r="S126" i="30" s="1"/>
  <c r="S129" i="30" s="1"/>
  <c r="S132" i="30" s="1"/>
  <c r="S5" i="30"/>
  <c r="T127" i="17" l="1"/>
  <c r="T128" i="17" s="1"/>
  <c r="T155" i="17"/>
  <c r="T156" i="17" s="1"/>
  <c r="T5" i="30"/>
  <c r="U123" i="30" s="1"/>
  <c r="U126" i="30" s="1"/>
  <c r="U129" i="30" s="1"/>
  <c r="U132" i="30" s="1"/>
  <c r="T123" i="30"/>
  <c r="T126" i="30" s="1"/>
  <c r="T129" i="30" s="1"/>
  <c r="T132" i="30" s="1"/>
  <c r="R124" i="30" l="1"/>
  <c r="Q45" i="30"/>
  <c r="N124" i="30"/>
  <c r="M45" i="30"/>
  <c r="J124" i="30"/>
  <c r="I45" i="30"/>
  <c r="F124" i="30"/>
  <c r="E45" i="30"/>
  <c r="S124" i="30"/>
  <c r="R45" i="30"/>
  <c r="O124" i="30"/>
  <c r="N45" i="30"/>
  <c r="J45" i="30"/>
  <c r="K124" i="30"/>
  <c r="G124" i="30"/>
  <c r="F45" i="30"/>
  <c r="U124" i="30"/>
  <c r="T45" i="30"/>
  <c r="Q124" i="30"/>
  <c r="P45" i="30"/>
  <c r="M124" i="30"/>
  <c r="L45" i="30"/>
  <c r="I124" i="30"/>
  <c r="H45" i="30"/>
  <c r="S45" i="30"/>
  <c r="T124" i="30"/>
  <c r="P124" i="30"/>
  <c r="O45" i="30"/>
  <c r="K45" i="30"/>
  <c r="L124" i="30"/>
  <c r="H124" i="30"/>
  <c r="G45" i="30"/>
  <c r="R233" i="1"/>
  <c r="R4" i="27" s="1"/>
  <c r="N233" i="1"/>
  <c r="N4" i="27" s="1"/>
  <c r="J233" i="1"/>
  <c r="J4" i="27" s="1"/>
  <c r="F233" i="1"/>
  <c r="F4" i="27" s="1"/>
  <c r="Q233" i="1"/>
  <c r="Q4" i="27" s="1"/>
  <c r="M233" i="1"/>
  <c r="M4" i="27" s="1"/>
  <c r="I233" i="1"/>
  <c r="I4" i="27" s="1"/>
  <c r="E233" i="1"/>
  <c r="E4" i="27" s="1"/>
  <c r="D233" i="1"/>
  <c r="E174" i="1" s="1"/>
  <c r="E178" i="1" s="1"/>
  <c r="P233" i="1"/>
  <c r="P4" i="27" s="1"/>
  <c r="L233" i="1"/>
  <c r="L4" i="27" s="1"/>
  <c r="H233" i="1"/>
  <c r="H4" i="27" s="1"/>
  <c r="S233" i="1"/>
  <c r="S4" i="27" s="1"/>
  <c r="O233" i="1"/>
  <c r="O4" i="27" s="1"/>
  <c r="K233" i="1"/>
  <c r="K4" i="27" s="1"/>
  <c r="G233" i="1"/>
  <c r="G4" i="27" s="1"/>
  <c r="L33" i="30" l="1"/>
  <c r="M33" i="30"/>
  <c r="O33" i="30"/>
  <c r="N33" i="30"/>
  <c r="P33" i="30"/>
  <c r="Q33" i="30"/>
  <c r="R33" i="30"/>
  <c r="S33" i="30"/>
  <c r="T33" i="30"/>
  <c r="K33" i="30"/>
  <c r="E33" i="29"/>
  <c r="H33" i="29"/>
  <c r="E33" i="28"/>
  <c r="E33" i="30"/>
  <c r="G33" i="30"/>
  <c r="J33" i="30"/>
  <c r="H33" i="30"/>
  <c r="F33" i="30"/>
  <c r="I33" i="30"/>
  <c r="D4" i="27"/>
  <c r="E177" i="1"/>
  <c r="P48" i="17"/>
  <c r="H48" i="17"/>
  <c r="F48" i="28"/>
  <c r="T48" i="17"/>
  <c r="L48" i="17"/>
  <c r="S48" i="17"/>
  <c r="K48" i="17"/>
  <c r="Q48" i="17"/>
  <c r="F48" i="17"/>
  <c r="N48" i="17"/>
  <c r="M48" i="17"/>
  <c r="I48" i="17"/>
  <c r="E48" i="17"/>
  <c r="G48" i="17"/>
  <c r="O48" i="17"/>
  <c r="J48" i="17"/>
  <c r="R48" i="17"/>
  <c r="F133" i="30"/>
  <c r="F130" i="30"/>
  <c r="F127" i="30"/>
  <c r="E93" i="30"/>
  <c r="E31" i="29" l="1"/>
  <c r="H31" i="29"/>
  <c r="M31" i="30"/>
  <c r="L31" i="30"/>
  <c r="S31" i="30"/>
  <c r="T31" i="30"/>
  <c r="K31" i="30"/>
  <c r="R31" i="30"/>
  <c r="O31" i="30"/>
  <c r="N31" i="30"/>
  <c r="P31" i="30"/>
  <c r="Q31" i="30"/>
  <c r="E31" i="28"/>
  <c r="J31" i="30"/>
  <c r="E31" i="30"/>
  <c r="H31" i="30"/>
  <c r="F31" i="30"/>
  <c r="I31" i="30"/>
  <c r="G31" i="30"/>
  <c r="L32" i="29"/>
  <c r="M32" i="29"/>
  <c r="J32" i="29"/>
  <c r="K32" i="29"/>
  <c r="J32" i="28"/>
  <c r="K32" i="28"/>
  <c r="S32" i="28"/>
  <c r="F32" i="28"/>
  <c r="J32" i="17"/>
  <c r="K32" i="17"/>
  <c r="L32" i="17"/>
  <c r="M32" i="17"/>
  <c r="H32" i="28"/>
  <c r="P32" i="28"/>
  <c r="J26" i="30"/>
  <c r="K27" i="30"/>
  <c r="L28" i="30"/>
  <c r="K26" i="30"/>
  <c r="L27" i="30"/>
  <c r="M28" i="30"/>
  <c r="L26" i="30"/>
  <c r="M27" i="30"/>
  <c r="N28" i="30"/>
  <c r="M26" i="30"/>
  <c r="N27" i="30"/>
  <c r="O28" i="30"/>
  <c r="N30" i="30"/>
  <c r="T30" i="30"/>
  <c r="S30" i="30"/>
  <c r="S29" i="30"/>
  <c r="I29" i="30"/>
  <c r="T29" i="30"/>
  <c r="K30" i="30"/>
  <c r="R29" i="30"/>
  <c r="H32" i="17"/>
  <c r="F26" i="30"/>
  <c r="G26" i="30"/>
  <c r="H26" i="30"/>
  <c r="I26" i="30"/>
  <c r="I30" i="30"/>
  <c r="G30" i="30"/>
  <c r="P32" i="29"/>
  <c r="Q32" i="29"/>
  <c r="N32" i="29"/>
  <c r="S32" i="29"/>
  <c r="N32" i="17"/>
  <c r="O32" i="17"/>
  <c r="P32" i="17"/>
  <c r="Q32" i="17"/>
  <c r="N26" i="30"/>
  <c r="O27" i="30"/>
  <c r="P28" i="30"/>
  <c r="O26" i="30"/>
  <c r="P27" i="30"/>
  <c r="Q28" i="30"/>
  <c r="P26" i="30"/>
  <c r="Q27" i="30"/>
  <c r="R28" i="30"/>
  <c r="Q26" i="30"/>
  <c r="R27" i="30"/>
  <c r="S28" i="30"/>
  <c r="F30" i="30"/>
  <c r="L30" i="30"/>
  <c r="M30" i="30"/>
  <c r="O29" i="30"/>
  <c r="P29" i="30"/>
  <c r="G29" i="30"/>
  <c r="J29" i="30"/>
  <c r="N29" i="30"/>
  <c r="F32" i="29"/>
  <c r="G32" i="17"/>
  <c r="I32" i="17"/>
  <c r="M32" i="28"/>
  <c r="H28" i="30"/>
  <c r="I28" i="30"/>
  <c r="J28" i="30"/>
  <c r="K28" i="30"/>
  <c r="J30" i="30"/>
  <c r="E29" i="30"/>
  <c r="H29" i="30"/>
  <c r="T32" i="29"/>
  <c r="E32" i="29"/>
  <c r="R32" i="29"/>
  <c r="G32" i="29"/>
  <c r="G32" i="28"/>
  <c r="O32" i="28"/>
  <c r="R32" i="28"/>
  <c r="R32" i="17"/>
  <c r="S32" i="17"/>
  <c r="T32" i="17"/>
  <c r="E32" i="17"/>
  <c r="L32" i="28"/>
  <c r="T32" i="28"/>
  <c r="N32" i="28"/>
  <c r="I32" i="28"/>
  <c r="Q32" i="28"/>
  <c r="R26" i="30"/>
  <c r="S27" i="30"/>
  <c r="T28" i="30"/>
  <c r="S26" i="30"/>
  <c r="T27" i="30"/>
  <c r="E28" i="30"/>
  <c r="T26" i="30"/>
  <c r="F28" i="30"/>
  <c r="E27" i="30"/>
  <c r="F27" i="30"/>
  <c r="G28" i="30"/>
  <c r="E26" i="30"/>
  <c r="E30" i="30"/>
  <c r="R30" i="30"/>
  <c r="P30" i="30"/>
  <c r="K29" i="30"/>
  <c r="Q29" i="30"/>
  <c r="Q30" i="30"/>
  <c r="L29" i="30"/>
  <c r="F29" i="30"/>
  <c r="H32" i="29"/>
  <c r="I32" i="29"/>
  <c r="O32" i="29"/>
  <c r="F32" i="17"/>
  <c r="E32" i="28"/>
  <c r="G27" i="30"/>
  <c r="H27" i="30"/>
  <c r="I27" i="30"/>
  <c r="J27" i="30"/>
  <c r="H30" i="30"/>
  <c r="M29" i="30"/>
  <c r="O30" i="30"/>
  <c r="E30" i="29"/>
  <c r="H26" i="29"/>
  <c r="H27" i="29"/>
  <c r="E29" i="29"/>
  <c r="E27" i="29"/>
  <c r="H28" i="29"/>
  <c r="H30" i="29"/>
  <c r="E28" i="29"/>
  <c r="E26" i="29"/>
  <c r="H29" i="29"/>
  <c r="E105" i="30"/>
  <c r="E107" i="30" s="1"/>
  <c r="E97" i="30"/>
  <c r="E99" i="30" s="1"/>
  <c r="G48" i="28"/>
  <c r="H25" i="29" l="1"/>
  <c r="H24" i="29" s="1"/>
  <c r="E101" i="30"/>
  <c r="E103" i="30" s="1"/>
  <c r="H48" i="28"/>
  <c r="I48" i="28" l="1"/>
  <c r="J48" i="28" l="1"/>
  <c r="I59" i="1"/>
  <c r="J59" i="1"/>
  <c r="Q153" i="1"/>
  <c r="Q154" i="1" s="1"/>
  <c r="P152" i="1"/>
  <c r="P154" i="1" s="1"/>
  <c r="F23" i="29" l="1"/>
  <c r="J23" i="29"/>
  <c r="N23" i="29"/>
  <c r="R23" i="29"/>
  <c r="G23" i="29"/>
  <c r="K23" i="29"/>
  <c r="O23" i="29"/>
  <c r="S23" i="29"/>
  <c r="H23" i="29"/>
  <c r="L23" i="29"/>
  <c r="P23" i="29"/>
  <c r="T23" i="29"/>
  <c r="I23" i="29"/>
  <c r="M23" i="29"/>
  <c r="Q23" i="29"/>
  <c r="F23" i="17"/>
  <c r="J23" i="28"/>
  <c r="H23" i="17"/>
  <c r="P23" i="17"/>
  <c r="T23" i="28"/>
  <c r="E23" i="17"/>
  <c r="M23" i="17"/>
  <c r="F23" i="28"/>
  <c r="K23" i="17"/>
  <c r="O23" i="17"/>
  <c r="S23" i="17"/>
  <c r="K23" i="28"/>
  <c r="S23" i="28"/>
  <c r="J23" i="17"/>
  <c r="H23" i="28"/>
  <c r="P23" i="28"/>
  <c r="N23" i="17"/>
  <c r="N23" i="28"/>
  <c r="I23" i="28"/>
  <c r="Q23" i="28"/>
  <c r="R23" i="17"/>
  <c r="L23" i="17"/>
  <c r="T23" i="17"/>
  <c r="E23" i="28"/>
  <c r="G23" i="28"/>
  <c r="Q23" i="17"/>
  <c r="R23" i="28"/>
  <c r="G23" i="17"/>
  <c r="O23" i="28"/>
  <c r="L23" i="28"/>
  <c r="I23" i="17"/>
  <c r="M23" i="28"/>
  <c r="S23" i="30"/>
  <c r="K23" i="30"/>
  <c r="N23" i="30"/>
  <c r="F23" i="30"/>
  <c r="E23" i="30"/>
  <c r="M23" i="30"/>
  <c r="T23" i="30"/>
  <c r="L23" i="30"/>
  <c r="O23" i="30"/>
  <c r="G23" i="30"/>
  <c r="J23" i="30"/>
  <c r="Q23" i="30"/>
  <c r="I23" i="30"/>
  <c r="P23" i="30"/>
  <c r="H23" i="30"/>
  <c r="R23" i="30"/>
  <c r="H17" i="30"/>
  <c r="T17" i="30"/>
  <c r="R17" i="30"/>
  <c r="N17" i="30"/>
  <c r="J17" i="30"/>
  <c r="F17" i="30"/>
  <c r="G17" i="30"/>
  <c r="S17" i="30"/>
  <c r="O17" i="30"/>
  <c r="K17" i="30"/>
  <c r="Q17" i="30"/>
  <c r="E17" i="30"/>
  <c r="P17" i="30"/>
  <c r="L17" i="30"/>
  <c r="I17" i="30"/>
  <c r="E52" i="30"/>
  <c r="M17" i="30"/>
  <c r="G18" i="30"/>
  <c r="K18" i="30"/>
  <c r="O18" i="30"/>
  <c r="S18" i="30"/>
  <c r="H18" i="30"/>
  <c r="L18" i="30"/>
  <c r="P18" i="30"/>
  <c r="T18" i="30"/>
  <c r="I18" i="30"/>
  <c r="M18" i="30"/>
  <c r="Q18" i="30"/>
  <c r="F18" i="30"/>
  <c r="J18" i="30"/>
  <c r="N18" i="30"/>
  <c r="R18" i="30"/>
  <c r="E18" i="30"/>
  <c r="E53" i="30"/>
  <c r="H19" i="30"/>
  <c r="L19" i="30"/>
  <c r="P19" i="30"/>
  <c r="T19" i="30"/>
  <c r="I19" i="30"/>
  <c r="M19" i="30"/>
  <c r="F19" i="30"/>
  <c r="J19" i="30"/>
  <c r="N19" i="30"/>
  <c r="G19" i="30"/>
  <c r="K19" i="30"/>
  <c r="O19" i="30"/>
  <c r="S19" i="30"/>
  <c r="Q19" i="30"/>
  <c r="R19" i="30"/>
  <c r="E19" i="30"/>
  <c r="E54" i="30"/>
  <c r="Q21" i="30"/>
  <c r="I21" i="30"/>
  <c r="S21" i="30"/>
  <c r="K21" i="30"/>
  <c r="R21" i="30"/>
  <c r="J21" i="30"/>
  <c r="P21" i="30"/>
  <c r="H21" i="30"/>
  <c r="M21" i="30"/>
  <c r="E21" i="30"/>
  <c r="N21" i="30"/>
  <c r="F21" i="30"/>
  <c r="T21" i="30"/>
  <c r="L21" i="30"/>
  <c r="O21" i="30"/>
  <c r="G21" i="30"/>
  <c r="I20" i="30"/>
  <c r="T20" i="30"/>
  <c r="P20" i="30"/>
  <c r="L20" i="30"/>
  <c r="H20" i="30"/>
  <c r="S20" i="30"/>
  <c r="O20" i="30"/>
  <c r="K20" i="30"/>
  <c r="G20" i="30"/>
  <c r="E20" i="30"/>
  <c r="Q20" i="30"/>
  <c r="M20" i="30"/>
  <c r="R20" i="30"/>
  <c r="N20" i="30"/>
  <c r="J20" i="30"/>
  <c r="F20" i="30"/>
  <c r="E55" i="30"/>
  <c r="E58" i="30"/>
  <c r="K48" i="28"/>
  <c r="O154" i="1"/>
  <c r="N140" i="1"/>
  <c r="N154" i="1"/>
  <c r="L48" i="28" l="1"/>
  <c r="M48" i="28" l="1"/>
  <c r="N48" i="28" l="1"/>
  <c r="O48" i="28" l="1"/>
  <c r="P48" i="28" l="1"/>
  <c r="Q48" i="28" l="1"/>
  <c r="R48" i="28" l="1"/>
  <c r="S48" i="28" l="1"/>
  <c r="T48" i="28" l="1"/>
  <c r="R87" i="14" l="1"/>
  <c r="N87" i="14"/>
  <c r="J87" i="14"/>
  <c r="F87" i="14"/>
  <c r="Q87" i="14"/>
  <c r="M87" i="14"/>
  <c r="I87" i="14"/>
  <c r="P87" i="14"/>
  <c r="L87" i="14"/>
  <c r="H87" i="14"/>
  <c r="S87" i="14"/>
  <c r="O87" i="14"/>
  <c r="K87" i="14"/>
  <c r="D125" i="29" l="1"/>
  <c r="D125" i="28"/>
  <c r="L54" i="14" l="1"/>
  <c r="S54" i="14"/>
  <c r="O54" i="14"/>
  <c r="K54" i="14"/>
  <c r="G54" i="14"/>
  <c r="D54" i="14"/>
  <c r="R54" i="14"/>
  <c r="N54" i="14"/>
  <c r="J54" i="14"/>
  <c r="F54" i="14"/>
  <c r="P54" i="14"/>
  <c r="H54" i="14"/>
  <c r="Q54" i="14"/>
  <c r="M54" i="14"/>
  <c r="I54" i="14"/>
  <c r="E54" i="14"/>
  <c r="Q61" i="14" l="1"/>
  <c r="P61" i="14"/>
  <c r="O61" i="14"/>
  <c r="N61" i="14"/>
  <c r="R61" i="14"/>
  <c r="K61" i="14"/>
  <c r="T61" i="14"/>
  <c r="G61" i="14"/>
  <c r="F61" i="14"/>
  <c r="F66" i="14" s="1"/>
  <c r="H61" i="14"/>
  <c r="S61" i="14"/>
  <c r="I61" i="14"/>
  <c r="L61" i="14"/>
  <c r="J61" i="14"/>
  <c r="M61" i="14"/>
  <c r="D29" i="14" l="1"/>
  <c r="J57" i="1" l="1"/>
  <c r="Q166" i="1" l="1"/>
  <c r="Q168" i="1" s="1"/>
  <c r="Q139" i="1"/>
  <c r="Q140" i="1" s="1"/>
  <c r="O165" i="1"/>
  <c r="P165" i="1"/>
  <c r="P138" i="1"/>
  <c r="N165" i="1"/>
  <c r="Q169" i="1" l="1"/>
  <c r="F39" i="29"/>
  <c r="E39" i="17"/>
  <c r="K39" i="29"/>
  <c r="P39" i="17"/>
  <c r="T39" i="29"/>
  <c r="I39" i="28"/>
  <c r="Q39" i="28"/>
  <c r="L39" i="17"/>
  <c r="S39" i="29"/>
  <c r="O39" i="29"/>
  <c r="H39" i="17"/>
  <c r="H39" i="29"/>
  <c r="I39" i="29"/>
  <c r="M39" i="29"/>
  <c r="E39" i="28"/>
  <c r="H39" i="28"/>
  <c r="T39" i="17"/>
  <c r="S39" i="17"/>
  <c r="R39" i="28"/>
  <c r="J39" i="17"/>
  <c r="K39" i="28"/>
  <c r="J39" i="29"/>
  <c r="F39" i="17"/>
  <c r="E39" i="29"/>
  <c r="S39" i="28"/>
  <c r="G39" i="28"/>
  <c r="R39" i="29"/>
  <c r="P39" i="28"/>
  <c r="R39" i="17"/>
  <c r="M39" i="28"/>
  <c r="Q39" i="17"/>
  <c r="L39" i="28"/>
  <c r="T39" i="28"/>
  <c r="M39" i="17"/>
  <c r="L39" i="29"/>
  <c r="O39" i="28"/>
  <c r="O39" i="17"/>
  <c r="N39" i="28"/>
  <c r="N39" i="17"/>
  <c r="N39" i="29"/>
  <c r="I39" i="17"/>
  <c r="P39" i="29"/>
  <c r="K39" i="17"/>
  <c r="Q39" i="29"/>
  <c r="J39" i="28"/>
  <c r="G39" i="17"/>
  <c r="G39" i="29"/>
  <c r="F39" i="28"/>
  <c r="P168" i="1"/>
  <c r="P140" i="1"/>
  <c r="P169" i="1" l="1"/>
  <c r="T35" i="14" l="1"/>
  <c r="F35" i="14"/>
  <c r="I35" i="14" l="1"/>
  <c r="G35" i="14"/>
  <c r="H35" i="14"/>
  <c r="J35" i="14"/>
  <c r="Q35" i="14"/>
  <c r="K35" i="14"/>
  <c r="M35" i="14"/>
  <c r="L35" i="14"/>
  <c r="N35" i="14"/>
  <c r="O35" i="14"/>
  <c r="P35" i="14"/>
  <c r="R35" i="14"/>
  <c r="S35" i="14"/>
  <c r="E35" i="14"/>
  <c r="E304" i="1"/>
  <c r="H304" i="1"/>
  <c r="N304" i="1"/>
  <c r="Q304" i="1"/>
  <c r="S304" i="1"/>
  <c r="K304" i="1"/>
  <c r="M304" i="1"/>
  <c r="P304" i="1"/>
  <c r="L304" i="1"/>
  <c r="R304" i="1"/>
  <c r="J304" i="1"/>
  <c r="O304" i="1"/>
  <c r="G304" i="1"/>
  <c r="I304" i="1"/>
  <c r="P320" i="1" l="1"/>
  <c r="Q46" i="28" s="1"/>
  <c r="J320" i="1"/>
  <c r="K46" i="28" s="1"/>
  <c r="N320" i="1"/>
  <c r="O46" i="28" s="1"/>
  <c r="R320" i="1"/>
  <c r="S46" i="28" s="1"/>
  <c r="H320" i="1"/>
  <c r="I46" i="28" s="1"/>
  <c r="S320" i="1"/>
  <c r="T46" i="28" s="1"/>
  <c r="E320" i="1"/>
  <c r="F46" i="28" s="1"/>
  <c r="G320" i="1"/>
  <c r="H46" i="28" s="1"/>
  <c r="K320" i="1"/>
  <c r="L46" i="28" s="1"/>
  <c r="L320" i="1"/>
  <c r="M46" i="28" s="1"/>
  <c r="O320" i="1"/>
  <c r="P46" i="28" s="1"/>
  <c r="Q320" i="1"/>
  <c r="R46" i="28" s="1"/>
  <c r="I320" i="1"/>
  <c r="J46" i="28" s="1"/>
  <c r="M320" i="1"/>
  <c r="N46" i="28" s="1"/>
  <c r="I303" i="1"/>
  <c r="I301" i="1" s="1"/>
  <c r="K303" i="1"/>
  <c r="K301" i="1" s="1"/>
  <c r="L303" i="1"/>
  <c r="L301" i="1" s="1"/>
  <c r="P303" i="1"/>
  <c r="P301" i="1" s="1"/>
  <c r="R303" i="1"/>
  <c r="R301" i="1" s="1"/>
  <c r="H303" i="1"/>
  <c r="H301" i="1" s="1"/>
  <c r="G303" i="1"/>
  <c r="G301" i="1" s="1"/>
  <c r="O303" i="1"/>
  <c r="O301" i="1" s="1"/>
  <c r="Q303" i="1"/>
  <c r="Q301" i="1" s="1"/>
  <c r="J303" i="1"/>
  <c r="J301" i="1" s="1"/>
  <c r="M303" i="1"/>
  <c r="M301" i="1" s="1"/>
  <c r="N303" i="1"/>
  <c r="N301" i="1" s="1"/>
  <c r="S303" i="1"/>
  <c r="S301" i="1" s="1"/>
  <c r="E303" i="1"/>
  <c r="E301" i="1" s="1"/>
  <c r="R313" i="1" l="1"/>
  <c r="R321" i="1"/>
  <c r="S18" i="28" s="1"/>
  <c r="N321" i="1"/>
  <c r="O47" i="28" s="1"/>
  <c r="N313" i="1"/>
  <c r="J321" i="1"/>
  <c r="J313" i="1"/>
  <c r="Q321" i="1"/>
  <c r="R20" i="28" s="1"/>
  <c r="Q313" i="1"/>
  <c r="O313" i="1"/>
  <c r="O321" i="1"/>
  <c r="P17" i="28" s="1"/>
  <c r="K313" i="1"/>
  <c r="K321" i="1"/>
  <c r="S313" i="1"/>
  <c r="S321" i="1"/>
  <c r="T47" i="28" s="1"/>
  <c r="M321" i="1"/>
  <c r="N47" i="28" s="1"/>
  <c r="M313" i="1"/>
  <c r="I321" i="1"/>
  <c r="I313" i="1"/>
  <c r="H313" i="1"/>
  <c r="H321" i="1"/>
  <c r="P313" i="1"/>
  <c r="P321" i="1"/>
  <c r="Q18" i="28" s="1"/>
  <c r="L313" i="1"/>
  <c r="L321" i="1"/>
  <c r="E321" i="1"/>
  <c r="E313" i="1"/>
  <c r="G313" i="1"/>
  <c r="G321" i="1"/>
  <c r="J18" i="28"/>
  <c r="K17" i="28"/>
  <c r="K19" i="28"/>
  <c r="P19" i="28"/>
  <c r="S21" i="28"/>
  <c r="S20" i="28"/>
  <c r="K98" i="28"/>
  <c r="P98" i="28"/>
  <c r="Q98" i="28"/>
  <c r="T94" i="28"/>
  <c r="F29" i="28"/>
  <c r="F27" i="28"/>
  <c r="F47" i="28"/>
  <c r="S94" i="28"/>
  <c r="S27" i="28"/>
  <c r="S26" i="28"/>
  <c r="S28" i="28"/>
  <c r="K94" i="28"/>
  <c r="K27" i="28"/>
  <c r="K28" i="28"/>
  <c r="K29" i="28"/>
  <c r="K30" i="28"/>
  <c r="K47" i="28"/>
  <c r="Q94" i="28"/>
  <c r="Q27" i="28"/>
  <c r="Q29" i="28"/>
  <c r="P28" i="28"/>
  <c r="P27" i="28"/>
  <c r="P47" i="28"/>
  <c r="J30" i="28"/>
  <c r="J28" i="28"/>
  <c r="J27" i="28"/>
  <c r="J29" i="28"/>
  <c r="J26" i="28"/>
  <c r="J47" i="28"/>
  <c r="N163" i="1"/>
  <c r="N164" i="1"/>
  <c r="O164" i="1"/>
  <c r="N30" i="28" l="1"/>
  <c r="N20" i="28"/>
  <c r="T29" i="28"/>
  <c r="Q19" i="28"/>
  <c r="T26" i="28"/>
  <c r="P21" i="28"/>
  <c r="O26" i="28"/>
  <c r="P30" i="28"/>
  <c r="P29" i="28"/>
  <c r="P26" i="28"/>
  <c r="Q30" i="28"/>
  <c r="Q28" i="28"/>
  <c r="S47" i="28"/>
  <c r="S29" i="28"/>
  <c r="T30" i="28"/>
  <c r="S98" i="28"/>
  <c r="S19" i="28"/>
  <c r="S17" i="28"/>
  <c r="Q17" i="28"/>
  <c r="P18" i="28"/>
  <c r="N28" i="28"/>
  <c r="P94" i="28"/>
  <c r="Q47" i="28"/>
  <c r="Q26" i="28"/>
  <c r="S30" i="28"/>
  <c r="T27" i="28"/>
  <c r="Q21" i="28"/>
  <c r="P20" i="28"/>
  <c r="N18" i="28"/>
  <c r="R47" i="28"/>
  <c r="O27" i="28"/>
  <c r="R29" i="28"/>
  <c r="O98" i="28"/>
  <c r="Q20" i="28"/>
  <c r="R98" i="28"/>
  <c r="O19" i="28"/>
  <c r="O30" i="28"/>
  <c r="R28" i="28"/>
  <c r="N94" i="28"/>
  <c r="I21" i="28"/>
  <c r="I33" i="28"/>
  <c r="I94" i="28"/>
  <c r="I31" i="28"/>
  <c r="I98" i="28"/>
  <c r="L33" i="28"/>
  <c r="L31" i="28"/>
  <c r="N17" i="28"/>
  <c r="N33" i="28"/>
  <c r="N31" i="28"/>
  <c r="R19" i="28"/>
  <c r="R33" i="28"/>
  <c r="R31" i="28"/>
  <c r="O20" i="28"/>
  <c r="O33" i="28"/>
  <c r="O31" i="28"/>
  <c r="H21" i="28"/>
  <c r="H94" i="28"/>
  <c r="H33" i="28"/>
  <c r="H98" i="28"/>
  <c r="H31" i="28"/>
  <c r="Q33" i="28"/>
  <c r="Q31" i="28"/>
  <c r="T33" i="28"/>
  <c r="T31" i="28"/>
  <c r="P33" i="28"/>
  <c r="P31" i="28"/>
  <c r="S33" i="28"/>
  <c r="S31" i="28"/>
  <c r="M29" i="28"/>
  <c r="M33" i="28"/>
  <c r="M31" i="28"/>
  <c r="F26" i="28"/>
  <c r="F33" i="28"/>
  <c r="F94" i="28"/>
  <c r="F31" i="28"/>
  <c r="F98" i="28"/>
  <c r="J17" i="28"/>
  <c r="J33" i="28"/>
  <c r="J31" i="28"/>
  <c r="K18" i="28"/>
  <c r="K33" i="28"/>
  <c r="K31" i="28"/>
  <c r="J20" i="28"/>
  <c r="F28" i="28"/>
  <c r="F30" i="28"/>
  <c r="R18" i="28"/>
  <c r="K20" i="28"/>
  <c r="K26" i="28"/>
  <c r="K21" i="28"/>
  <c r="J21" i="28"/>
  <c r="J19" i="28"/>
  <c r="H28" i="28"/>
  <c r="L28" i="28"/>
  <c r="I47" i="28"/>
  <c r="N19" i="28"/>
  <c r="N22" i="28"/>
  <c r="R17" i="28"/>
  <c r="R22" i="28"/>
  <c r="O18" i="28"/>
  <c r="O22" i="28"/>
  <c r="H17" i="28"/>
  <c r="H22" i="28"/>
  <c r="I18" i="28"/>
  <c r="I22" i="28"/>
  <c r="L21" i="28"/>
  <c r="L22" i="28"/>
  <c r="I17" i="28"/>
  <c r="Q22" i="28"/>
  <c r="T22" i="28"/>
  <c r="P22" i="28"/>
  <c r="S22" i="28"/>
  <c r="M18" i="28"/>
  <c r="M22" i="28"/>
  <c r="I26" i="28"/>
  <c r="H26" i="28"/>
  <c r="L94" i="28"/>
  <c r="M28" i="28"/>
  <c r="L19" i="28"/>
  <c r="F22" i="28"/>
  <c r="J22" i="28"/>
  <c r="K22" i="28"/>
  <c r="M20" i="28"/>
  <c r="O28" i="28"/>
  <c r="O29" i="28"/>
  <c r="H30" i="28"/>
  <c r="L29" i="28"/>
  <c r="R94" i="28"/>
  <c r="R26" i="28"/>
  <c r="N27" i="28"/>
  <c r="N29" i="28"/>
  <c r="I30" i="28"/>
  <c r="M47" i="28"/>
  <c r="M27" i="28"/>
  <c r="M98" i="28"/>
  <c r="N98" i="28"/>
  <c r="H18" i="28"/>
  <c r="R21" i="28"/>
  <c r="N21" i="28"/>
  <c r="L20" i="28"/>
  <c r="L18" i="28"/>
  <c r="I19" i="28"/>
  <c r="O17" i="28"/>
  <c r="M19" i="28"/>
  <c r="H27" i="28"/>
  <c r="L30" i="28"/>
  <c r="L27" i="28"/>
  <c r="I27" i="28"/>
  <c r="I28" i="28"/>
  <c r="M26" i="28"/>
  <c r="L98" i="28"/>
  <c r="H19" i="28"/>
  <c r="L17" i="28"/>
  <c r="I20" i="28"/>
  <c r="O94" i="28"/>
  <c r="H47" i="28"/>
  <c r="H29" i="28"/>
  <c r="L47" i="28"/>
  <c r="L26" i="28"/>
  <c r="R30" i="28"/>
  <c r="R27" i="28"/>
  <c r="N26" i="28"/>
  <c r="I29" i="28"/>
  <c r="M30" i="28"/>
  <c r="M94" i="28"/>
  <c r="H20" i="28"/>
  <c r="O21" i="28"/>
  <c r="M17" i="28"/>
  <c r="J98" i="28"/>
  <c r="J94" i="28"/>
  <c r="T17" i="28"/>
  <c r="T19" i="28"/>
  <c r="T98" i="28"/>
  <c r="T18" i="28"/>
  <c r="T28" i="28"/>
  <c r="T20" i="28"/>
  <c r="T21" i="28"/>
  <c r="M21" i="28"/>
  <c r="F21" i="28"/>
  <c r="F17" i="28"/>
  <c r="F20" i="28"/>
  <c r="F18" i="28"/>
  <c r="F19" i="28"/>
  <c r="E193" i="29"/>
  <c r="F221" i="29" l="1"/>
  <c r="F218" i="29"/>
  <c r="U212" i="29"/>
  <c r="T212" i="29"/>
  <c r="S212" i="29"/>
  <c r="R212" i="29"/>
  <c r="Q212" i="29"/>
  <c r="P212" i="29"/>
  <c r="O212" i="29"/>
  <c r="N212" i="29"/>
  <c r="M212" i="29"/>
  <c r="L212" i="29"/>
  <c r="K212" i="29"/>
  <c r="J212" i="29"/>
  <c r="I212" i="29"/>
  <c r="H212" i="29"/>
  <c r="G212" i="29"/>
  <c r="F212" i="29"/>
  <c r="F190" i="29"/>
  <c r="G190" i="29" s="1"/>
  <c r="H190" i="29" s="1"/>
  <c r="I190" i="29" s="1"/>
  <c r="J190" i="29" s="1"/>
  <c r="K190" i="29" s="1"/>
  <c r="L190" i="29" s="1"/>
  <c r="M190" i="29" s="1"/>
  <c r="N190" i="29" s="1"/>
  <c r="O190" i="29" s="1"/>
  <c r="P190" i="29" s="1"/>
  <c r="Q190" i="29" s="1"/>
  <c r="R190" i="29" s="1"/>
  <c r="S190" i="29" s="1"/>
  <c r="T190" i="29" s="1"/>
  <c r="E184" i="29"/>
  <c r="S173" i="29"/>
  <c r="S180" i="29" s="1"/>
  <c r="R173" i="29"/>
  <c r="R180" i="29" s="1"/>
  <c r="Q173" i="29"/>
  <c r="Q180" i="29" s="1"/>
  <c r="P173" i="29"/>
  <c r="P180" i="29" s="1"/>
  <c r="O173" i="29"/>
  <c r="O180" i="29" s="1"/>
  <c r="N173" i="29"/>
  <c r="N180" i="29" s="1"/>
  <c r="M173" i="29"/>
  <c r="M180" i="29" s="1"/>
  <c r="L173" i="29"/>
  <c r="L180" i="29" s="1"/>
  <c r="K173" i="29"/>
  <c r="K180" i="29" s="1"/>
  <c r="J173" i="29"/>
  <c r="J180" i="29" s="1"/>
  <c r="I173" i="29"/>
  <c r="I180" i="29" s="1"/>
  <c r="H173" i="29"/>
  <c r="H180" i="29" s="1"/>
  <c r="G173" i="29"/>
  <c r="G180" i="29" s="1"/>
  <c r="F173" i="29"/>
  <c r="F180" i="29" s="1"/>
  <c r="E173" i="29"/>
  <c r="E180" i="29" s="1"/>
  <c r="T168" i="29"/>
  <c r="S168" i="29"/>
  <c r="R168" i="29"/>
  <c r="Q168" i="29"/>
  <c r="P168" i="29"/>
  <c r="O168" i="29"/>
  <c r="N168" i="29"/>
  <c r="M168" i="29"/>
  <c r="L168" i="29"/>
  <c r="K168" i="29"/>
  <c r="J168" i="29"/>
  <c r="I168" i="29"/>
  <c r="H168" i="29"/>
  <c r="G168" i="29"/>
  <c r="F168" i="29"/>
  <c r="E168" i="29"/>
  <c r="T167" i="29"/>
  <c r="S167" i="29"/>
  <c r="R167" i="29"/>
  <c r="Q167" i="29"/>
  <c r="P167" i="29"/>
  <c r="O167" i="29"/>
  <c r="N167" i="29"/>
  <c r="M167" i="29"/>
  <c r="L167" i="29"/>
  <c r="K167" i="29"/>
  <c r="J167" i="29"/>
  <c r="I167" i="29"/>
  <c r="H167" i="29"/>
  <c r="G167" i="29"/>
  <c r="F167" i="29"/>
  <c r="E167" i="29"/>
  <c r="T166" i="29"/>
  <c r="S166" i="29"/>
  <c r="R166" i="29"/>
  <c r="Q166" i="29"/>
  <c r="P166" i="29"/>
  <c r="O166" i="29"/>
  <c r="N166" i="29"/>
  <c r="M166" i="29"/>
  <c r="L166" i="29"/>
  <c r="K166" i="29"/>
  <c r="J166" i="29"/>
  <c r="I166" i="29"/>
  <c r="H166" i="29"/>
  <c r="G166" i="29"/>
  <c r="F166" i="29"/>
  <c r="E166" i="29"/>
  <c r="F159" i="29"/>
  <c r="G159" i="29" s="1"/>
  <c r="E157" i="29"/>
  <c r="F157" i="29" s="1"/>
  <c r="G157" i="29" s="1"/>
  <c r="H157" i="29" s="1"/>
  <c r="I157" i="29" s="1"/>
  <c r="J157" i="29" s="1"/>
  <c r="K157" i="29" s="1"/>
  <c r="L157" i="29" s="1"/>
  <c r="M157" i="29" s="1"/>
  <c r="D153" i="29"/>
  <c r="D152" i="29"/>
  <c r="D150" i="29"/>
  <c r="F148" i="29"/>
  <c r="G148" i="29" s="1"/>
  <c r="H148" i="29" s="1"/>
  <c r="I148" i="29" s="1"/>
  <c r="J148" i="29" s="1"/>
  <c r="K148" i="29" s="1"/>
  <c r="L148" i="29" s="1"/>
  <c r="M148" i="29" s="1"/>
  <c r="N148" i="29" s="1"/>
  <c r="O148" i="29" s="1"/>
  <c r="P148" i="29" s="1"/>
  <c r="Q148" i="29" s="1"/>
  <c r="R148" i="29" s="1"/>
  <c r="S148" i="29" s="1"/>
  <c r="T148" i="29" s="1"/>
  <c r="U148" i="29" s="1"/>
  <c r="E143" i="29"/>
  <c r="F131" i="29"/>
  <c r="D124" i="29"/>
  <c r="D122" i="29"/>
  <c r="F120" i="29"/>
  <c r="G120" i="29" s="1"/>
  <c r="H120" i="29" s="1"/>
  <c r="I120" i="29" s="1"/>
  <c r="J120" i="29" s="1"/>
  <c r="K120" i="29" s="1"/>
  <c r="L120" i="29" s="1"/>
  <c r="M120" i="29" s="1"/>
  <c r="N120" i="29" s="1"/>
  <c r="O120" i="29" s="1"/>
  <c r="P120" i="29" s="1"/>
  <c r="Q120" i="29" s="1"/>
  <c r="R120" i="29" s="1"/>
  <c r="S120" i="29" s="1"/>
  <c r="T120" i="29" s="1"/>
  <c r="D116" i="29"/>
  <c r="D114" i="29"/>
  <c r="E105" i="29"/>
  <c r="E93" i="29"/>
  <c r="E97" i="29" s="1"/>
  <c r="T45" i="29"/>
  <c r="S45" i="29"/>
  <c r="R45" i="29"/>
  <c r="Q45" i="29"/>
  <c r="P45" i="29"/>
  <c r="O45" i="29"/>
  <c r="N45" i="29"/>
  <c r="M45" i="29"/>
  <c r="L45" i="29"/>
  <c r="K45" i="29"/>
  <c r="J45" i="29"/>
  <c r="I45" i="29"/>
  <c r="H45" i="29"/>
  <c r="G45" i="29"/>
  <c r="F45" i="29"/>
  <c r="E45" i="29"/>
  <c r="E44" i="29"/>
  <c r="E133" i="29"/>
  <c r="E5" i="29"/>
  <c r="F211" i="29" s="1"/>
  <c r="F214" i="29" s="1"/>
  <c r="F217" i="29" s="1"/>
  <c r="F220" i="29" s="1"/>
  <c r="F2" i="29"/>
  <c r="G2" i="29" s="1"/>
  <c r="H2" i="29" s="1"/>
  <c r="I2" i="29" s="1"/>
  <c r="J2" i="29" s="1"/>
  <c r="K2" i="29" s="1"/>
  <c r="L2" i="29" s="1"/>
  <c r="M2" i="29" s="1"/>
  <c r="N2" i="29" s="1"/>
  <c r="O2" i="29" s="1"/>
  <c r="P2" i="29" s="1"/>
  <c r="Q2" i="29" s="1"/>
  <c r="R2" i="29" s="1"/>
  <c r="S2" i="29" s="1"/>
  <c r="T2" i="29" s="1"/>
  <c r="N157" i="29" l="1"/>
  <c r="F5" i="29"/>
  <c r="G211" i="29" s="1"/>
  <c r="G214" i="29" s="1"/>
  <c r="G217" i="29" s="1"/>
  <c r="G220" i="29" s="1"/>
  <c r="E101" i="29"/>
  <c r="H159" i="29"/>
  <c r="I159" i="29" s="1"/>
  <c r="G131" i="29"/>
  <c r="E157" i="28"/>
  <c r="F157" i="28" s="1"/>
  <c r="G157" i="28" s="1"/>
  <c r="O157" i="29" l="1"/>
  <c r="H157" i="28"/>
  <c r="G5" i="29"/>
  <c r="H211" i="29" s="1"/>
  <c r="H214" i="29" s="1"/>
  <c r="H217" i="29" s="1"/>
  <c r="H220" i="29" s="1"/>
  <c r="H131" i="29"/>
  <c r="J159" i="29"/>
  <c r="P157" i="29" l="1"/>
  <c r="I157" i="28"/>
  <c r="H5" i="29"/>
  <c r="I211" i="29" s="1"/>
  <c r="I214" i="29" s="1"/>
  <c r="I217" i="29" s="1"/>
  <c r="I220" i="29" s="1"/>
  <c r="R35" i="29"/>
  <c r="N35" i="29"/>
  <c r="J35" i="29"/>
  <c r="F35" i="29"/>
  <c r="Q35" i="29"/>
  <c r="M35" i="29"/>
  <c r="I35" i="29"/>
  <c r="E35" i="29"/>
  <c r="T35" i="29"/>
  <c r="P35" i="29"/>
  <c r="L35" i="29"/>
  <c r="H35" i="29"/>
  <c r="S35" i="29"/>
  <c r="O35" i="29"/>
  <c r="K35" i="29"/>
  <c r="G35" i="29"/>
  <c r="R36" i="29"/>
  <c r="N36" i="29"/>
  <c r="J36" i="29"/>
  <c r="F36" i="29"/>
  <c r="Q36" i="29"/>
  <c r="M36" i="29"/>
  <c r="I36" i="29"/>
  <c r="E36" i="29"/>
  <c r="T36" i="29"/>
  <c r="P36" i="29"/>
  <c r="L36" i="29"/>
  <c r="H36" i="29"/>
  <c r="S36" i="29"/>
  <c r="O36" i="29"/>
  <c r="K36" i="29"/>
  <c r="G36" i="29"/>
  <c r="K159" i="29"/>
  <c r="I131" i="29"/>
  <c r="J29" i="14"/>
  <c r="P29" i="14"/>
  <c r="L29" i="14"/>
  <c r="H29" i="14"/>
  <c r="S29" i="14"/>
  <c r="O29" i="14"/>
  <c r="K29" i="14"/>
  <c r="G29" i="14"/>
  <c r="R29" i="14"/>
  <c r="N29" i="14"/>
  <c r="F29" i="14"/>
  <c r="Q29" i="14"/>
  <c r="M29" i="14"/>
  <c r="I29" i="14"/>
  <c r="E29" i="14"/>
  <c r="Q157" i="29" l="1"/>
  <c r="J157" i="28"/>
  <c r="I5" i="29"/>
  <c r="J5" i="29" s="1"/>
  <c r="J131" i="29"/>
  <c r="L159" i="29"/>
  <c r="R157" i="29" l="1"/>
  <c r="K157" i="28"/>
  <c r="J211" i="29"/>
  <c r="J214" i="29" s="1"/>
  <c r="J217" i="29" s="1"/>
  <c r="J220" i="29" s="1"/>
  <c r="K131" i="29"/>
  <c r="K211" i="29"/>
  <c r="K214" i="29" s="1"/>
  <c r="K217" i="29" s="1"/>
  <c r="K220" i="29" s="1"/>
  <c r="K5" i="29"/>
  <c r="M159" i="29"/>
  <c r="S157" i="29" l="1"/>
  <c r="L157" i="28"/>
  <c r="L131" i="29"/>
  <c r="N159" i="29"/>
  <c r="L211" i="29"/>
  <c r="L214" i="29" s="1"/>
  <c r="L217" i="29" s="1"/>
  <c r="L220" i="29" s="1"/>
  <c r="L5" i="29"/>
  <c r="T157" i="29" l="1"/>
  <c r="S126" i="29"/>
  <c r="S127" i="29" s="1"/>
  <c r="S154" i="29"/>
  <c r="S155" i="29" s="1"/>
  <c r="M157" i="28"/>
  <c r="O159" i="29"/>
  <c r="M211" i="29"/>
  <c r="M214" i="29" s="1"/>
  <c r="M217" i="29" s="1"/>
  <c r="M220" i="29" s="1"/>
  <c r="M5" i="29"/>
  <c r="M131" i="29"/>
  <c r="T126" i="29" l="1"/>
  <c r="T127" i="29" s="1"/>
  <c r="T154" i="29"/>
  <c r="T155" i="29" s="1"/>
  <c r="N157" i="28"/>
  <c r="N211" i="29"/>
  <c r="N214" i="29" s="1"/>
  <c r="N217" i="29" s="1"/>
  <c r="N220" i="29" s="1"/>
  <c r="N5" i="29"/>
  <c r="P159" i="29"/>
  <c r="N131" i="29"/>
  <c r="N161" i="1"/>
  <c r="J58" i="1"/>
  <c r="I57" i="1"/>
  <c r="J56" i="1"/>
  <c r="I56" i="1"/>
  <c r="J55" i="1"/>
  <c r="I55" i="1"/>
  <c r="J54" i="1"/>
  <c r="I54" i="1"/>
  <c r="J53" i="1"/>
  <c r="I53" i="1"/>
  <c r="O163" i="1"/>
  <c r="O162" i="1"/>
  <c r="N162" i="1"/>
  <c r="O161" i="1"/>
  <c r="O160" i="1"/>
  <c r="N160" i="1"/>
  <c r="O159" i="1"/>
  <c r="N159" i="1"/>
  <c r="O158" i="1"/>
  <c r="N158" i="1"/>
  <c r="I58" i="1" l="1"/>
  <c r="N168" i="1"/>
  <c r="N169" i="1" s="1"/>
  <c r="O168" i="1"/>
  <c r="O140" i="1"/>
  <c r="O157" i="28"/>
  <c r="Q159" i="29"/>
  <c r="O131" i="29"/>
  <c r="O211" i="29"/>
  <c r="O214" i="29" s="1"/>
  <c r="O217" i="29" s="1"/>
  <c r="O220" i="29" s="1"/>
  <c r="O5" i="29"/>
  <c r="O169" i="1" l="1"/>
  <c r="E333" i="1"/>
  <c r="E350" i="1" s="1"/>
  <c r="F88" i="29" s="1"/>
  <c r="P157" i="28"/>
  <c r="P131" i="29"/>
  <c r="P211" i="29"/>
  <c r="P214" i="29" s="1"/>
  <c r="P217" i="29" s="1"/>
  <c r="P220" i="29" s="1"/>
  <c r="P5" i="29"/>
  <c r="R159" i="29"/>
  <c r="F67" i="29" l="1"/>
  <c r="F94" i="29"/>
  <c r="F87" i="29"/>
  <c r="F77" i="29"/>
  <c r="F68" i="29"/>
  <c r="F98" i="29"/>
  <c r="F78" i="29"/>
  <c r="F33" i="29"/>
  <c r="F31" i="29"/>
  <c r="F22" i="29"/>
  <c r="F17" i="29"/>
  <c r="F18" i="29"/>
  <c r="F20" i="29"/>
  <c r="F19" i="29"/>
  <c r="F21" i="29"/>
  <c r="E332" i="1"/>
  <c r="E330" i="1" s="1"/>
  <c r="F333" i="1"/>
  <c r="F350" i="1" s="1"/>
  <c r="G88" i="29" s="1"/>
  <c r="R169" i="1"/>
  <c r="Q157" i="28"/>
  <c r="Q131" i="29"/>
  <c r="S159" i="29"/>
  <c r="Q211" i="29"/>
  <c r="Q214" i="29" s="1"/>
  <c r="Q217" i="29" s="1"/>
  <c r="Q220" i="29" s="1"/>
  <c r="Q5" i="29"/>
  <c r="G67" i="29" l="1"/>
  <c r="G94" i="29"/>
  <c r="G77" i="29"/>
  <c r="G87" i="29"/>
  <c r="G78" i="29"/>
  <c r="G98" i="29"/>
  <c r="G68" i="29"/>
  <c r="G33" i="29"/>
  <c r="G31" i="29"/>
  <c r="G22" i="29"/>
  <c r="G17" i="29"/>
  <c r="G19" i="29"/>
  <c r="G18" i="29"/>
  <c r="G21" i="29"/>
  <c r="G20" i="29"/>
  <c r="F332" i="1"/>
  <c r="F330" i="1" s="1"/>
  <c r="F26" i="29"/>
  <c r="F27" i="29"/>
  <c r="F30" i="29"/>
  <c r="F28" i="29"/>
  <c r="F29" i="29"/>
  <c r="F47" i="29"/>
  <c r="R157" i="28"/>
  <c r="R131" i="29"/>
  <c r="R211" i="29"/>
  <c r="R214" i="29" s="1"/>
  <c r="R217" i="29" s="1"/>
  <c r="R220" i="29" s="1"/>
  <c r="R5" i="29"/>
  <c r="T159" i="29"/>
  <c r="F56" i="29" l="1"/>
  <c r="F57" i="29"/>
  <c r="G27" i="29"/>
  <c r="G28" i="29"/>
  <c r="G29" i="29"/>
  <c r="G30" i="29"/>
  <c r="G26" i="29"/>
  <c r="G47" i="29"/>
  <c r="F25" i="29"/>
  <c r="F24" i="29" s="1"/>
  <c r="H333" i="1"/>
  <c r="H350" i="1" s="1"/>
  <c r="I88" i="29" s="1"/>
  <c r="S157" i="28"/>
  <c r="S131" i="29"/>
  <c r="S211" i="29"/>
  <c r="S214" i="29" s="1"/>
  <c r="S217" i="29" s="1"/>
  <c r="S220" i="29" s="1"/>
  <c r="S5" i="29"/>
  <c r="G56" i="29" l="1"/>
  <c r="G57" i="29"/>
  <c r="I94" i="29"/>
  <c r="I87" i="29"/>
  <c r="I77" i="29"/>
  <c r="I67" i="29"/>
  <c r="I98" i="29"/>
  <c r="I78" i="29"/>
  <c r="I68" i="29"/>
  <c r="I33" i="29"/>
  <c r="I31" i="29"/>
  <c r="I22" i="29"/>
  <c r="I17" i="29"/>
  <c r="I18" i="29"/>
  <c r="I20" i="29"/>
  <c r="I21" i="29"/>
  <c r="I19" i="29"/>
  <c r="G25" i="29"/>
  <c r="G24" i="29" s="1"/>
  <c r="H332" i="1"/>
  <c r="H330" i="1" s="1"/>
  <c r="F25" i="30"/>
  <c r="F24" i="30" s="1"/>
  <c r="F16" i="30"/>
  <c r="F15" i="30" s="1"/>
  <c r="E95" i="30"/>
  <c r="E91" i="30" s="1"/>
  <c r="E51" i="30"/>
  <c r="I333" i="1"/>
  <c r="I350" i="1" s="1"/>
  <c r="J88" i="29" s="1"/>
  <c r="E275" i="1"/>
  <c r="S126" i="28"/>
  <c r="S154" i="28"/>
  <c r="T157" i="28"/>
  <c r="D275" i="1"/>
  <c r="T211" i="29"/>
  <c r="T214" i="29" s="1"/>
  <c r="T217" i="29" s="1"/>
  <c r="T220" i="29" s="1"/>
  <c r="T5" i="29"/>
  <c r="T131" i="29"/>
  <c r="J94" i="29" l="1"/>
  <c r="J87" i="29"/>
  <c r="J77" i="29"/>
  <c r="J67" i="29"/>
  <c r="J98" i="29"/>
  <c r="J68" i="29"/>
  <c r="J78" i="29"/>
  <c r="J33" i="29"/>
  <c r="J31" i="29"/>
  <c r="J22" i="29"/>
  <c r="D292" i="1"/>
  <c r="E291" i="1"/>
  <c r="F46" i="17" s="1"/>
  <c r="D291" i="1"/>
  <c r="E46" i="17" s="1"/>
  <c r="J17" i="29"/>
  <c r="J18" i="29"/>
  <c r="J19" i="29"/>
  <c r="J21" i="29"/>
  <c r="J20" i="29"/>
  <c r="I332" i="1"/>
  <c r="I330" i="1" s="1"/>
  <c r="I29" i="29"/>
  <c r="I26" i="29"/>
  <c r="I27" i="29"/>
  <c r="I30" i="29"/>
  <c r="I28" i="29"/>
  <c r="I47" i="29"/>
  <c r="D274" i="1"/>
  <c r="D272" i="1" s="1"/>
  <c r="E274" i="1"/>
  <c r="E272" i="1" s="1"/>
  <c r="E16" i="30"/>
  <c r="E15" i="30" s="1"/>
  <c r="E25" i="30"/>
  <c r="E24" i="30" s="1"/>
  <c r="G25" i="30"/>
  <c r="G24" i="30" s="1"/>
  <c r="G16" i="30"/>
  <c r="G15" i="30" s="1"/>
  <c r="F275" i="1"/>
  <c r="G275" i="1"/>
  <c r="J333" i="1"/>
  <c r="J350" i="1" s="1"/>
  <c r="T154" i="28"/>
  <c r="T126" i="28"/>
  <c r="U211" i="29"/>
  <c r="U214" i="29" s="1"/>
  <c r="U217" i="29" s="1"/>
  <c r="U220" i="29" s="1"/>
  <c r="E149" i="29"/>
  <c r="F149" i="29" s="1"/>
  <c r="G149" i="29" s="1"/>
  <c r="H149" i="29" s="1"/>
  <c r="I149" i="29" s="1"/>
  <c r="J149" i="29" s="1"/>
  <c r="K149" i="29" s="1"/>
  <c r="L149" i="29" s="1"/>
  <c r="M149" i="29" s="1"/>
  <c r="N149" i="29" s="1"/>
  <c r="O149" i="29" s="1"/>
  <c r="P149" i="29" s="1"/>
  <c r="Q149" i="29" s="1"/>
  <c r="R149" i="29" s="1"/>
  <c r="S149" i="29" s="1"/>
  <c r="T149" i="29" s="1"/>
  <c r="U149" i="29" s="1"/>
  <c r="E121" i="29"/>
  <c r="F121" i="29" s="1"/>
  <c r="G121" i="29" s="1"/>
  <c r="H121" i="29" s="1"/>
  <c r="I121" i="29" s="1"/>
  <c r="J121" i="29" s="1"/>
  <c r="K121" i="29" s="1"/>
  <c r="L121" i="29" s="1"/>
  <c r="M121" i="29" s="1"/>
  <c r="N121" i="29" s="1"/>
  <c r="O121" i="29" s="1"/>
  <c r="P121" i="29" s="1"/>
  <c r="Q121" i="29" s="1"/>
  <c r="R121" i="29" s="1"/>
  <c r="S121" i="29" s="1"/>
  <c r="T121" i="29" s="1"/>
  <c r="F304" i="1"/>
  <c r="K68" i="29" l="1"/>
  <c r="K88" i="29"/>
  <c r="I56" i="29"/>
  <c r="I57" i="29"/>
  <c r="K33" i="29"/>
  <c r="K31" i="29"/>
  <c r="E33" i="17"/>
  <c r="E94" i="17"/>
  <c r="E31" i="17"/>
  <c r="E98" i="17"/>
  <c r="K22" i="29"/>
  <c r="E22" i="17"/>
  <c r="E284" i="1"/>
  <c r="F320" i="1"/>
  <c r="G46" i="28" s="1"/>
  <c r="F291" i="1"/>
  <c r="G46" i="17" s="1"/>
  <c r="G291" i="1"/>
  <c r="H46" i="17" s="1"/>
  <c r="F292" i="1"/>
  <c r="E292" i="1"/>
  <c r="K98" i="29"/>
  <c r="K94" i="29"/>
  <c r="K19" i="29"/>
  <c r="K17" i="29"/>
  <c r="K20" i="29"/>
  <c r="K18" i="29"/>
  <c r="K21" i="29"/>
  <c r="I25" i="29"/>
  <c r="I24" i="29" s="1"/>
  <c r="J30" i="29"/>
  <c r="J28" i="29"/>
  <c r="J27" i="29"/>
  <c r="J26" i="29"/>
  <c r="J29" i="29"/>
  <c r="J47" i="29"/>
  <c r="J332" i="1"/>
  <c r="J330" i="1" s="1"/>
  <c r="E29" i="17"/>
  <c r="E30" i="17"/>
  <c r="E27" i="17"/>
  <c r="E28" i="17"/>
  <c r="E26" i="17"/>
  <c r="E47" i="17"/>
  <c r="E19" i="17"/>
  <c r="E20" i="17"/>
  <c r="E18" i="17"/>
  <c r="E21" i="17"/>
  <c r="E17" i="17"/>
  <c r="F303" i="1"/>
  <c r="F301" i="1" s="1"/>
  <c r="G274" i="1"/>
  <c r="G272" i="1" s="1"/>
  <c r="D286" i="1"/>
  <c r="D284" i="1" s="1"/>
  <c r="F274" i="1"/>
  <c r="F272" i="1" s="1"/>
  <c r="H25" i="30"/>
  <c r="H24" i="30" s="1"/>
  <c r="H16" i="30"/>
  <c r="H15" i="30" s="1"/>
  <c r="H275" i="1"/>
  <c r="K333" i="1"/>
  <c r="L68" i="29" l="1"/>
  <c r="L88" i="29"/>
  <c r="J56" i="29"/>
  <c r="J57" i="29"/>
  <c r="L33" i="29"/>
  <c r="L31" i="29"/>
  <c r="F33" i="17"/>
  <c r="F94" i="17"/>
  <c r="F31" i="17"/>
  <c r="F98" i="17"/>
  <c r="G94" i="17"/>
  <c r="G33" i="17"/>
  <c r="G31" i="17"/>
  <c r="G98" i="17"/>
  <c r="L22" i="29"/>
  <c r="G284" i="1"/>
  <c r="G30" i="17"/>
  <c r="G22" i="17"/>
  <c r="F22" i="17"/>
  <c r="G21" i="17"/>
  <c r="H291" i="1"/>
  <c r="I46" i="17" s="1"/>
  <c r="G47" i="17"/>
  <c r="G20" i="17"/>
  <c r="G26" i="17"/>
  <c r="G28" i="17"/>
  <c r="G29" i="17"/>
  <c r="F26" i="17"/>
  <c r="F17" i="17"/>
  <c r="F21" i="17"/>
  <c r="F28" i="17"/>
  <c r="F29" i="17"/>
  <c r="F20" i="17"/>
  <c r="F30" i="17"/>
  <c r="F18" i="17"/>
  <c r="F27" i="17"/>
  <c r="F19" i="17"/>
  <c r="F47" i="17"/>
  <c r="G19" i="17"/>
  <c r="G17" i="17"/>
  <c r="G18" i="17"/>
  <c r="G27" i="17"/>
  <c r="F284" i="1"/>
  <c r="F313" i="1"/>
  <c r="F321" i="1"/>
  <c r="G292" i="1"/>
  <c r="L98" i="29"/>
  <c r="L94" i="29"/>
  <c r="L20" i="29"/>
  <c r="L17" i="29"/>
  <c r="L21" i="29"/>
  <c r="L18" i="29"/>
  <c r="L19" i="29"/>
  <c r="E17" i="28"/>
  <c r="E18" i="28"/>
  <c r="E21" i="28"/>
  <c r="E20" i="28"/>
  <c r="E19" i="28"/>
  <c r="J25" i="29"/>
  <c r="J24" i="29" s="1"/>
  <c r="K332" i="1"/>
  <c r="K330" i="1" s="1"/>
  <c r="K29" i="29"/>
  <c r="K27" i="29"/>
  <c r="K28" i="29"/>
  <c r="K26" i="29"/>
  <c r="K30" i="29"/>
  <c r="K47" i="29"/>
  <c r="E28" i="28"/>
  <c r="E27" i="28"/>
  <c r="E29" i="28"/>
  <c r="E30" i="28"/>
  <c r="E26" i="28"/>
  <c r="E47" i="28"/>
  <c r="H274" i="1"/>
  <c r="H272" i="1" s="1"/>
  <c r="J25" i="30"/>
  <c r="J24" i="30" s="1"/>
  <c r="J16" i="30"/>
  <c r="J15" i="30" s="1"/>
  <c r="I25" i="30"/>
  <c r="I24" i="30" s="1"/>
  <c r="I16" i="30"/>
  <c r="I15" i="30" s="1"/>
  <c r="I275" i="1"/>
  <c r="L333" i="1"/>
  <c r="L350" i="1" s="1"/>
  <c r="M68" i="29" l="1"/>
  <c r="M88" i="29"/>
  <c r="M33" i="29"/>
  <c r="M31" i="29"/>
  <c r="H94" i="17"/>
  <c r="H33" i="17"/>
  <c r="H31" i="17"/>
  <c r="H98" i="17"/>
  <c r="G94" i="28"/>
  <c r="G33" i="28"/>
  <c r="G98" i="28"/>
  <c r="G31" i="28"/>
  <c r="M22" i="29"/>
  <c r="G28" i="28"/>
  <c r="G22" i="28"/>
  <c r="H22" i="17"/>
  <c r="H284" i="1"/>
  <c r="G47" i="28"/>
  <c r="I292" i="1"/>
  <c r="I291" i="1"/>
  <c r="J46" i="17" s="1"/>
  <c r="G18" i="28"/>
  <c r="G19" i="28"/>
  <c r="G20" i="28"/>
  <c r="G17" i="28"/>
  <c r="G21" i="28"/>
  <c r="G29" i="28"/>
  <c r="G27" i="28"/>
  <c r="G30" i="28"/>
  <c r="G26" i="28"/>
  <c r="H28" i="17"/>
  <c r="H29" i="17"/>
  <c r="H20" i="17"/>
  <c r="H26" i="17"/>
  <c r="H47" i="17"/>
  <c r="H21" i="17"/>
  <c r="H27" i="17"/>
  <c r="H30" i="17"/>
  <c r="H17" i="17"/>
  <c r="H19" i="17"/>
  <c r="H18" i="17"/>
  <c r="H292" i="1"/>
  <c r="M98" i="29"/>
  <c r="M94" i="29"/>
  <c r="M17" i="29"/>
  <c r="M19" i="29"/>
  <c r="M18" i="29"/>
  <c r="M20" i="29"/>
  <c r="M21" i="29"/>
  <c r="L30" i="29"/>
  <c r="L26" i="29"/>
  <c r="L27" i="29"/>
  <c r="L28" i="29"/>
  <c r="L29" i="29"/>
  <c r="L47" i="29"/>
  <c r="L332" i="1"/>
  <c r="L330" i="1" s="1"/>
  <c r="K25" i="29"/>
  <c r="K24" i="29" s="1"/>
  <c r="I274" i="1"/>
  <c r="I272" i="1" s="1"/>
  <c r="K25" i="30"/>
  <c r="K24" i="30" s="1"/>
  <c r="K16" i="30"/>
  <c r="K15" i="30" s="1"/>
  <c r="J275" i="1"/>
  <c r="M333" i="1"/>
  <c r="M350" i="1" s="1"/>
  <c r="N68" i="29" l="1"/>
  <c r="N88" i="29"/>
  <c r="N33" i="29"/>
  <c r="N31" i="29"/>
  <c r="J33" i="17"/>
  <c r="J94" i="17"/>
  <c r="J98" i="17"/>
  <c r="J31" i="17"/>
  <c r="I33" i="17"/>
  <c r="I94" i="17"/>
  <c r="I31" i="17"/>
  <c r="I98" i="17"/>
  <c r="N22" i="29"/>
  <c r="I22" i="17"/>
  <c r="J22" i="17"/>
  <c r="J26" i="17"/>
  <c r="J28" i="17"/>
  <c r="J47" i="17"/>
  <c r="J21" i="17"/>
  <c r="J29" i="17"/>
  <c r="J18" i="17"/>
  <c r="J27" i="17"/>
  <c r="J17" i="17"/>
  <c r="J19" i="17"/>
  <c r="J30" i="17"/>
  <c r="J20" i="17"/>
  <c r="J291" i="1"/>
  <c r="K46" i="17" s="1"/>
  <c r="I30" i="17"/>
  <c r="I19" i="17"/>
  <c r="I20" i="17"/>
  <c r="I28" i="17"/>
  <c r="I47" i="17"/>
  <c r="I17" i="17"/>
  <c r="I21" i="17"/>
  <c r="I26" i="17"/>
  <c r="I18" i="17"/>
  <c r="I27" i="17"/>
  <c r="I29" i="17"/>
  <c r="I284" i="1"/>
  <c r="N98" i="29"/>
  <c r="N94" i="29"/>
  <c r="N17" i="29"/>
  <c r="N18" i="29"/>
  <c r="N20" i="29"/>
  <c r="N19" i="29"/>
  <c r="N21" i="29"/>
  <c r="M332" i="1"/>
  <c r="M330" i="1" s="1"/>
  <c r="M30" i="29"/>
  <c r="M28" i="29"/>
  <c r="M29" i="29"/>
  <c r="M27" i="29"/>
  <c r="M26" i="29"/>
  <c r="M47" i="29"/>
  <c r="L25" i="29"/>
  <c r="L24" i="29" s="1"/>
  <c r="J274" i="1"/>
  <c r="J272" i="1" s="1"/>
  <c r="L25" i="30"/>
  <c r="L24" i="30" s="1"/>
  <c r="L16" i="30"/>
  <c r="L15" i="30" s="1"/>
  <c r="K275" i="1"/>
  <c r="N333" i="1"/>
  <c r="N350" i="1" s="1"/>
  <c r="O68" i="29" l="1"/>
  <c r="O88" i="29"/>
  <c r="O33" i="29"/>
  <c r="O31" i="29"/>
  <c r="O22" i="29"/>
  <c r="K291" i="1"/>
  <c r="L46" i="17" s="1"/>
  <c r="J284" i="1"/>
  <c r="J292" i="1"/>
  <c r="O98" i="29"/>
  <c r="O94" i="29"/>
  <c r="O17" i="29"/>
  <c r="O19" i="29"/>
  <c r="O21" i="29"/>
  <c r="O18" i="29"/>
  <c r="O20" i="29"/>
  <c r="N332" i="1"/>
  <c r="N330" i="1" s="1"/>
  <c r="M25" i="29"/>
  <c r="M24" i="29" s="1"/>
  <c r="N30" i="29"/>
  <c r="N28" i="29"/>
  <c r="N26" i="29"/>
  <c r="N29" i="29"/>
  <c r="N27" i="29"/>
  <c r="N47" i="29"/>
  <c r="K274" i="1"/>
  <c r="K272" i="1" s="1"/>
  <c r="M25" i="30"/>
  <c r="M24" i="30" s="1"/>
  <c r="M16" i="30"/>
  <c r="M15" i="30" s="1"/>
  <c r="L275" i="1"/>
  <c r="O333" i="1"/>
  <c r="O350" i="1" s="1"/>
  <c r="P68" i="29" s="1"/>
  <c r="F221" i="28"/>
  <c r="F218" i="2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G212" i="28"/>
  <c r="F212" i="28"/>
  <c r="F190" i="28"/>
  <c r="G190" i="28" s="1"/>
  <c r="H190" i="28" s="1"/>
  <c r="I190" i="28" s="1"/>
  <c r="J190" i="28" s="1"/>
  <c r="K190" i="28" s="1"/>
  <c r="L190" i="28" s="1"/>
  <c r="M190" i="28" s="1"/>
  <c r="N190" i="28" s="1"/>
  <c r="O190" i="28" s="1"/>
  <c r="P190" i="28" s="1"/>
  <c r="Q190" i="28" s="1"/>
  <c r="R190" i="28" s="1"/>
  <c r="S190" i="28" s="1"/>
  <c r="T190" i="28" s="1"/>
  <c r="E184" i="28"/>
  <c r="S173" i="28"/>
  <c r="S180" i="28" s="1"/>
  <c r="R173" i="28"/>
  <c r="R180" i="28" s="1"/>
  <c r="Q173" i="28"/>
  <c r="Q180" i="28" s="1"/>
  <c r="P173" i="28"/>
  <c r="P180" i="28" s="1"/>
  <c r="O173" i="28"/>
  <c r="O180" i="28" s="1"/>
  <c r="N173" i="28"/>
  <c r="N180" i="28" s="1"/>
  <c r="M173" i="28"/>
  <c r="M180" i="28" s="1"/>
  <c r="L173" i="28"/>
  <c r="L180" i="28" s="1"/>
  <c r="K173" i="28"/>
  <c r="K180" i="28" s="1"/>
  <c r="J173" i="28"/>
  <c r="J180" i="28" s="1"/>
  <c r="I173" i="28"/>
  <c r="I180" i="28" s="1"/>
  <c r="H173" i="28"/>
  <c r="H180" i="28" s="1"/>
  <c r="G173" i="28"/>
  <c r="G180" i="28" s="1"/>
  <c r="F173" i="28"/>
  <c r="F180" i="28" s="1"/>
  <c r="E173" i="28"/>
  <c r="E180" i="28" s="1"/>
  <c r="T168" i="28"/>
  <c r="S168" i="28"/>
  <c r="R168" i="28"/>
  <c r="Q168" i="28"/>
  <c r="P168" i="28"/>
  <c r="O168" i="28"/>
  <c r="N168" i="28"/>
  <c r="M168" i="28"/>
  <c r="L168" i="28"/>
  <c r="K168" i="28"/>
  <c r="J168" i="28"/>
  <c r="I168" i="28"/>
  <c r="H168" i="28"/>
  <c r="G168" i="28"/>
  <c r="F168" i="28"/>
  <c r="E168" i="28"/>
  <c r="T167" i="2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G167" i="28"/>
  <c r="F167" i="28"/>
  <c r="E167" i="28"/>
  <c r="T166" i="2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G166" i="28"/>
  <c r="F166" i="28"/>
  <c r="E166" i="28"/>
  <c r="F159" i="28"/>
  <c r="G159" i="28" s="1"/>
  <c r="H159" i="28" s="1"/>
  <c r="D153" i="28"/>
  <c r="D152" i="28"/>
  <c r="D150" i="28"/>
  <c r="F148" i="28"/>
  <c r="G148" i="28" s="1"/>
  <c r="H148" i="28" s="1"/>
  <c r="I148" i="28" s="1"/>
  <c r="J148" i="28" s="1"/>
  <c r="K148" i="28" s="1"/>
  <c r="L148" i="28" s="1"/>
  <c r="M148" i="28" s="1"/>
  <c r="N148" i="28" s="1"/>
  <c r="O148" i="28" s="1"/>
  <c r="P148" i="28" s="1"/>
  <c r="Q148" i="28" s="1"/>
  <c r="R148" i="28" s="1"/>
  <c r="S148" i="28" s="1"/>
  <c r="T148" i="28" s="1"/>
  <c r="U148" i="28" s="1"/>
  <c r="E143" i="28"/>
  <c r="F131" i="28"/>
  <c r="G131" i="28" s="1"/>
  <c r="H131" i="28" s="1"/>
  <c r="I131" i="28" s="1"/>
  <c r="J131" i="28" s="1"/>
  <c r="K131" i="28" s="1"/>
  <c r="D124" i="28"/>
  <c r="D122" i="28"/>
  <c r="F120" i="28"/>
  <c r="G120" i="28" s="1"/>
  <c r="H120" i="28" s="1"/>
  <c r="I120" i="28" s="1"/>
  <c r="J120" i="28" s="1"/>
  <c r="K120" i="28" s="1"/>
  <c r="L120" i="28" s="1"/>
  <c r="M120" i="28" s="1"/>
  <c r="N120" i="28" s="1"/>
  <c r="O120" i="28" s="1"/>
  <c r="P120" i="28" s="1"/>
  <c r="Q120" i="28" s="1"/>
  <c r="R120" i="28" s="1"/>
  <c r="S120" i="28" s="1"/>
  <c r="T120" i="28" s="1"/>
  <c r="D116" i="28"/>
  <c r="D114" i="28"/>
  <c r="E105" i="28"/>
  <c r="E93" i="28"/>
  <c r="E97" i="28" s="1"/>
  <c r="E101" i="28" s="1"/>
  <c r="T45" i="28"/>
  <c r="S45" i="28"/>
  <c r="R45" i="28"/>
  <c r="Q45" i="28"/>
  <c r="P45" i="28"/>
  <c r="O45" i="28"/>
  <c r="N45" i="28"/>
  <c r="M45" i="28"/>
  <c r="L45" i="28"/>
  <c r="K45" i="28"/>
  <c r="J45" i="28"/>
  <c r="I45" i="28"/>
  <c r="H45" i="28"/>
  <c r="G45" i="28"/>
  <c r="F45" i="28"/>
  <c r="E45" i="28"/>
  <c r="E44" i="28"/>
  <c r="E133" i="28"/>
  <c r="E5" i="28"/>
  <c r="F211" i="28" s="1"/>
  <c r="F214" i="28" s="1"/>
  <c r="F217" i="28" s="1"/>
  <c r="F220" i="28" s="1"/>
  <c r="F2" i="28"/>
  <c r="G2" i="28" s="1"/>
  <c r="H2" i="28" s="1"/>
  <c r="I2" i="28" s="1"/>
  <c r="J2" i="28" s="1"/>
  <c r="K2" i="28" s="1"/>
  <c r="L2" i="28" s="1"/>
  <c r="M2" i="28" s="1"/>
  <c r="N2" i="28" s="1"/>
  <c r="O2" i="28" s="1"/>
  <c r="P2" i="28" s="1"/>
  <c r="Q2" i="28" s="1"/>
  <c r="R2" i="28" s="1"/>
  <c r="S2" i="28" s="1"/>
  <c r="T2" i="28" s="1"/>
  <c r="P33" i="29" l="1"/>
  <c r="P31" i="29"/>
  <c r="K33" i="17"/>
  <c r="K31" i="17"/>
  <c r="E57" i="28"/>
  <c r="E56" i="28"/>
  <c r="P22" i="29"/>
  <c r="K22" i="17"/>
  <c r="L291" i="1"/>
  <c r="M46" i="17" s="1"/>
  <c r="K284" i="1"/>
  <c r="K27" i="17"/>
  <c r="K47" i="17"/>
  <c r="K17" i="17"/>
  <c r="K30" i="17"/>
  <c r="K20" i="17"/>
  <c r="K19" i="17"/>
  <c r="K28" i="17"/>
  <c r="K26" i="17"/>
  <c r="K21" i="17"/>
  <c r="K98" i="17"/>
  <c r="K29" i="17"/>
  <c r="K18" i="17"/>
  <c r="K94" i="17"/>
  <c r="K292" i="1"/>
  <c r="P98" i="29"/>
  <c r="P94" i="29"/>
  <c r="P17" i="29"/>
  <c r="P20" i="29"/>
  <c r="P18" i="29"/>
  <c r="P19" i="29"/>
  <c r="P21" i="29"/>
  <c r="N25" i="29"/>
  <c r="N24" i="29" s="1"/>
  <c r="O332" i="1"/>
  <c r="O330" i="1" s="1"/>
  <c r="O26" i="29"/>
  <c r="O30" i="29"/>
  <c r="O28" i="29"/>
  <c r="O29" i="29"/>
  <c r="O27" i="29"/>
  <c r="O47" i="29"/>
  <c r="L274" i="1"/>
  <c r="L272" i="1" s="1"/>
  <c r="E52" i="28"/>
  <c r="E55" i="28"/>
  <c r="E58" i="28"/>
  <c r="E53" i="28"/>
  <c r="E54" i="28"/>
  <c r="N25" i="30"/>
  <c r="N24" i="30" s="1"/>
  <c r="N16" i="30"/>
  <c r="N15" i="30" s="1"/>
  <c r="M275" i="1"/>
  <c r="P333" i="1"/>
  <c r="P350" i="1" s="1"/>
  <c r="Q68" i="29" s="1"/>
  <c r="L131" i="28"/>
  <c r="F5" i="28"/>
  <c r="I159" i="28"/>
  <c r="J159" i="28" s="1"/>
  <c r="F116" i="17"/>
  <c r="G116" i="17"/>
  <c r="H116" i="17"/>
  <c r="I116" i="17"/>
  <c r="J116" i="17"/>
  <c r="K116" i="17"/>
  <c r="L116" i="17"/>
  <c r="E116" i="17"/>
  <c r="E31" i="14"/>
  <c r="E37" i="14" s="1"/>
  <c r="F37" i="14" s="1"/>
  <c r="G37" i="14" s="1"/>
  <c r="H37" i="14" s="1"/>
  <c r="I37" i="14" s="1"/>
  <c r="J37" i="14" s="1"/>
  <c r="K37" i="14" s="1"/>
  <c r="L37" i="14" s="1"/>
  <c r="M37" i="14" s="1"/>
  <c r="N37" i="14" s="1"/>
  <c r="O37" i="14" s="1"/>
  <c r="P37" i="14" s="1"/>
  <c r="Q37" i="14" s="1"/>
  <c r="R37" i="14" s="1"/>
  <c r="S37" i="14" s="1"/>
  <c r="T37" i="14" s="1"/>
  <c r="E25" i="14"/>
  <c r="F25" i="14" s="1"/>
  <c r="Q33" i="29" l="1"/>
  <c r="Q31" i="29"/>
  <c r="L33" i="17"/>
  <c r="L31" i="17"/>
  <c r="Q22" i="29"/>
  <c r="L284" i="1"/>
  <c r="L22" i="17"/>
  <c r="M291" i="1"/>
  <c r="N46" i="17" s="1"/>
  <c r="L27" i="17"/>
  <c r="L30" i="17"/>
  <c r="L18" i="17"/>
  <c r="L21" i="17"/>
  <c r="L26" i="17"/>
  <c r="L94" i="17"/>
  <c r="L19" i="17"/>
  <c r="L29" i="17"/>
  <c r="L47" i="17"/>
  <c r="L98" i="17"/>
  <c r="L28" i="17"/>
  <c r="L17" i="17"/>
  <c r="L20" i="17"/>
  <c r="L292" i="1"/>
  <c r="Q98" i="29"/>
  <c r="Q94" i="29"/>
  <c r="Q17" i="29"/>
  <c r="Q18" i="29"/>
  <c r="Q20" i="29"/>
  <c r="Q21" i="29"/>
  <c r="Q19" i="29"/>
  <c r="P27" i="29"/>
  <c r="P30" i="29"/>
  <c r="P29" i="29"/>
  <c r="P28" i="29"/>
  <c r="P26" i="29"/>
  <c r="P47" i="29"/>
  <c r="P332" i="1"/>
  <c r="P330" i="1" s="1"/>
  <c r="O25" i="29"/>
  <c r="O24" i="29" s="1"/>
  <c r="M274" i="1"/>
  <c r="M272" i="1" s="1"/>
  <c r="O25" i="30"/>
  <c r="O24" i="30" s="1"/>
  <c r="O16" i="30"/>
  <c r="O15" i="30" s="1"/>
  <c r="S139" i="17"/>
  <c r="K139" i="17"/>
  <c r="N139" i="17"/>
  <c r="F139" i="17"/>
  <c r="E139" i="17"/>
  <c r="Q139" i="17"/>
  <c r="M139" i="17"/>
  <c r="I139" i="17"/>
  <c r="O139" i="17"/>
  <c r="G139" i="17"/>
  <c r="R139" i="17"/>
  <c r="J139" i="17"/>
  <c r="T139" i="17"/>
  <c r="P139" i="17"/>
  <c r="L139" i="17"/>
  <c r="H139" i="17"/>
  <c r="N275" i="1"/>
  <c r="Q333" i="1"/>
  <c r="Q350" i="1" s="1"/>
  <c r="R68" i="29" s="1"/>
  <c r="T139" i="28"/>
  <c r="T139" i="29"/>
  <c r="P139" i="28"/>
  <c r="P139" i="29"/>
  <c r="L139" i="28"/>
  <c r="L139" i="29"/>
  <c r="H139" i="28"/>
  <c r="H139" i="29"/>
  <c r="L113" i="28"/>
  <c r="L163" i="28" s="1"/>
  <c r="L172" i="28" s="1"/>
  <c r="H113" i="28"/>
  <c r="H140" i="28" s="1"/>
  <c r="S139" i="28"/>
  <c r="S139" i="29"/>
  <c r="O139" i="28"/>
  <c r="O139" i="29"/>
  <c r="K139" i="28"/>
  <c r="K139" i="29"/>
  <c r="G139" i="28"/>
  <c r="G139" i="29"/>
  <c r="K113" i="28"/>
  <c r="K140" i="28" s="1"/>
  <c r="G163" i="29"/>
  <c r="G172" i="29" s="1"/>
  <c r="G140" i="29"/>
  <c r="R139" i="28"/>
  <c r="R139" i="29"/>
  <c r="N139" i="28"/>
  <c r="N139" i="29"/>
  <c r="J139" i="28"/>
  <c r="J139" i="29"/>
  <c r="F139" i="28"/>
  <c r="F139" i="29"/>
  <c r="J113" i="28"/>
  <c r="J163" i="28" s="1"/>
  <c r="J172" i="28" s="1"/>
  <c r="F113" i="28"/>
  <c r="F163" i="28" s="1"/>
  <c r="F172" i="28" s="1"/>
  <c r="E139" i="28"/>
  <c r="Q139" i="28"/>
  <c r="Q139" i="29"/>
  <c r="M139" i="28"/>
  <c r="M139" i="29"/>
  <c r="I139" i="28"/>
  <c r="I139" i="29"/>
  <c r="E113" i="28"/>
  <c r="E163" i="28" s="1"/>
  <c r="E172" i="28" s="1"/>
  <c r="I113" i="28"/>
  <c r="I140" i="28" s="1"/>
  <c r="L113" i="17"/>
  <c r="H113" i="17"/>
  <c r="K113" i="17"/>
  <c r="G113" i="17"/>
  <c r="J113" i="17"/>
  <c r="F113" i="17"/>
  <c r="E113" i="17"/>
  <c r="I113" i="17"/>
  <c r="G5" i="28"/>
  <c r="G211" i="28"/>
  <c r="G214" i="28" s="1"/>
  <c r="G217" i="28" s="1"/>
  <c r="G220" i="28" s="1"/>
  <c r="M131" i="28"/>
  <c r="K159" i="28"/>
  <c r="G25" i="14"/>
  <c r="G31" i="14"/>
  <c r="F31" i="14"/>
  <c r="R33" i="29" l="1"/>
  <c r="R31" i="29"/>
  <c r="M33" i="17"/>
  <c r="M31" i="17"/>
  <c r="R22" i="29"/>
  <c r="M22" i="17"/>
  <c r="N291" i="1"/>
  <c r="O46" i="17" s="1"/>
  <c r="M98" i="17"/>
  <c r="M27" i="17"/>
  <c r="M47" i="17"/>
  <c r="M19" i="17"/>
  <c r="M26" i="17"/>
  <c r="M94" i="17"/>
  <c r="M29" i="17"/>
  <c r="M21" i="17"/>
  <c r="M20" i="17"/>
  <c r="M28" i="17"/>
  <c r="M17" i="17"/>
  <c r="M30" i="17"/>
  <c r="M18" i="17"/>
  <c r="R98" i="29"/>
  <c r="R94" i="29"/>
  <c r="R17" i="29"/>
  <c r="R18" i="29"/>
  <c r="R20" i="29"/>
  <c r="R19" i="29"/>
  <c r="R21" i="29"/>
  <c r="Q332" i="1"/>
  <c r="Q330" i="1" s="1"/>
  <c r="Q28" i="29"/>
  <c r="Q30" i="29"/>
  <c r="Q26" i="29"/>
  <c r="Q29" i="29"/>
  <c r="Q27" i="29"/>
  <c r="Q47" i="29"/>
  <c r="P25" i="29"/>
  <c r="P24" i="29" s="1"/>
  <c r="N274" i="1"/>
  <c r="N272" i="1" s="1"/>
  <c r="P25" i="30"/>
  <c r="P24" i="30" s="1"/>
  <c r="P16" i="30"/>
  <c r="P15" i="30" s="1"/>
  <c r="K140" i="17"/>
  <c r="K138" i="17" s="1"/>
  <c r="K164" i="17"/>
  <c r="K173" i="17" s="1"/>
  <c r="E140" i="17"/>
  <c r="E138" i="17" s="1"/>
  <c r="E164" i="17"/>
  <c r="E173" i="17" s="1"/>
  <c r="F140" i="17"/>
  <c r="F138" i="17" s="1"/>
  <c r="F164" i="17"/>
  <c r="F173" i="17" s="1"/>
  <c r="H140" i="17"/>
  <c r="H138" i="17" s="1"/>
  <c r="H164" i="17"/>
  <c r="H173" i="17" s="1"/>
  <c r="I140" i="17"/>
  <c r="I138" i="17" s="1"/>
  <c r="I164" i="17"/>
  <c r="I173" i="17" s="1"/>
  <c r="G140" i="17"/>
  <c r="G138" i="17" s="1"/>
  <c r="G164" i="17"/>
  <c r="G173" i="17" s="1"/>
  <c r="J140" i="17"/>
  <c r="J138" i="17" s="1"/>
  <c r="J164" i="17"/>
  <c r="J173" i="17" s="1"/>
  <c r="L140" i="17"/>
  <c r="L138" i="17" s="1"/>
  <c r="L164" i="17"/>
  <c r="L173" i="17" s="1"/>
  <c r="O275" i="1"/>
  <c r="S333" i="1"/>
  <c r="S350" i="1" s="1"/>
  <c r="T68" i="29" s="1"/>
  <c r="R333" i="1"/>
  <c r="R350" i="1" s="1"/>
  <c r="S68" i="29" s="1"/>
  <c r="E140" i="28"/>
  <c r="K163" i="28"/>
  <c r="K172" i="28" s="1"/>
  <c r="F140" i="28"/>
  <c r="I163" i="28"/>
  <c r="I172" i="28" s="1"/>
  <c r="D112" i="28"/>
  <c r="J140" i="28"/>
  <c r="H163" i="28"/>
  <c r="H172" i="28" s="1"/>
  <c r="L140" i="28"/>
  <c r="E140" i="29"/>
  <c r="E163" i="29"/>
  <c r="E172" i="29" s="1"/>
  <c r="E139" i="29"/>
  <c r="D112" i="29"/>
  <c r="L128" i="14" s="1"/>
  <c r="I140" i="29"/>
  <c r="I163" i="29"/>
  <c r="I172" i="29" s="1"/>
  <c r="F163" i="29"/>
  <c r="F172" i="29" s="1"/>
  <c r="F140" i="29"/>
  <c r="H163" i="29"/>
  <c r="H172" i="29" s="1"/>
  <c r="H140" i="29"/>
  <c r="J140" i="29"/>
  <c r="J163" i="29"/>
  <c r="J172" i="29" s="1"/>
  <c r="K140" i="29"/>
  <c r="K163" i="29"/>
  <c r="K172" i="29" s="1"/>
  <c r="L163" i="29"/>
  <c r="L172" i="29" s="1"/>
  <c r="L140" i="29"/>
  <c r="I40" i="14"/>
  <c r="G113" i="28"/>
  <c r="L159" i="28"/>
  <c r="N131" i="28"/>
  <c r="H5" i="28"/>
  <c r="H211" i="28"/>
  <c r="H214" i="28" s="1"/>
  <c r="H217" i="28" s="1"/>
  <c r="H220" i="28" s="1"/>
  <c r="F40" i="14"/>
  <c r="S40" i="14"/>
  <c r="T40" i="14"/>
  <c r="R40" i="14"/>
  <c r="M40" i="14"/>
  <c r="P40" i="14"/>
  <c r="N40" i="14"/>
  <c r="K40" i="14"/>
  <c r="E40" i="14"/>
  <c r="H40" i="14"/>
  <c r="Q40" i="14"/>
  <c r="G40" i="14"/>
  <c r="L40" i="14"/>
  <c r="J40" i="14"/>
  <c r="O40" i="14"/>
  <c r="H25" i="14"/>
  <c r="H31" i="14"/>
  <c r="T33" i="29" l="1"/>
  <c r="T31" i="29"/>
  <c r="S33" i="29"/>
  <c r="S31" i="29"/>
  <c r="T22" i="29"/>
  <c r="S22" i="29"/>
  <c r="O291" i="1"/>
  <c r="P46" i="17" s="1"/>
  <c r="T98" i="29"/>
  <c r="T94" i="29"/>
  <c r="S98" i="29"/>
  <c r="S94" i="29"/>
  <c r="T20" i="29"/>
  <c r="T17" i="29"/>
  <c r="T18" i="29"/>
  <c r="T19" i="29"/>
  <c r="T21" i="29"/>
  <c r="S19" i="29"/>
  <c r="S17" i="29"/>
  <c r="S20" i="29"/>
  <c r="S18" i="29"/>
  <c r="S21" i="29"/>
  <c r="Q25" i="29"/>
  <c r="Q24" i="29" s="1"/>
  <c r="R332" i="1"/>
  <c r="R330" i="1" s="1"/>
  <c r="S332" i="1"/>
  <c r="S330" i="1" s="1"/>
  <c r="R29" i="29"/>
  <c r="R27" i="29"/>
  <c r="R26" i="29"/>
  <c r="R30" i="29"/>
  <c r="R28" i="29"/>
  <c r="R47" i="29"/>
  <c r="O274" i="1"/>
  <c r="O272" i="1" s="1"/>
  <c r="O111" i="17"/>
  <c r="O171" i="17" s="1"/>
  <c r="Q111" i="17"/>
  <c r="Q171" i="17" s="1"/>
  <c r="T111" i="17"/>
  <c r="T162" i="17" s="1"/>
  <c r="I111" i="17"/>
  <c r="I171" i="17" s="1"/>
  <c r="J111" i="17"/>
  <c r="J171" i="17" s="1"/>
  <c r="H111" i="17"/>
  <c r="H162" i="17" s="1"/>
  <c r="P111" i="17"/>
  <c r="P162" i="17" s="1"/>
  <c r="S111" i="17"/>
  <c r="S162" i="17" s="1"/>
  <c r="L111" i="17"/>
  <c r="L162" i="17" s="1"/>
  <c r="F111" i="17"/>
  <c r="E194" i="17"/>
  <c r="D201" i="17"/>
  <c r="E111" i="17"/>
  <c r="E162" i="17" s="1"/>
  <c r="M111" i="17"/>
  <c r="M162" i="17" s="1"/>
  <c r="G111" i="17"/>
  <c r="G162" i="17" s="1"/>
  <c r="K111" i="17"/>
  <c r="K162" i="17" s="1"/>
  <c r="R111" i="17"/>
  <c r="R171" i="17" s="1"/>
  <c r="N111" i="17"/>
  <c r="N171" i="17" s="1"/>
  <c r="Q25" i="30"/>
  <c r="Q24" i="30" s="1"/>
  <c r="Q16" i="30"/>
  <c r="Q15" i="30" s="1"/>
  <c r="L110" i="30"/>
  <c r="G110" i="30"/>
  <c r="K110" i="30"/>
  <c r="O110" i="30"/>
  <c r="Q110" i="30"/>
  <c r="T110" i="30"/>
  <c r="I110" i="30"/>
  <c r="F110" i="30"/>
  <c r="F111" i="28"/>
  <c r="J110" i="30"/>
  <c r="H110" i="30"/>
  <c r="P110" i="30"/>
  <c r="S110" i="30"/>
  <c r="H128" i="14"/>
  <c r="P275" i="1"/>
  <c r="G163" i="28"/>
  <c r="G172" i="28" s="1"/>
  <c r="G140" i="28"/>
  <c r="I211" i="28"/>
  <c r="I214" i="28" s="1"/>
  <c r="I217" i="28" s="1"/>
  <c r="I220" i="28" s="1"/>
  <c r="I5" i="28"/>
  <c r="O131" i="28"/>
  <c r="M159" i="28"/>
  <c r="I31" i="14"/>
  <c r="I25" i="14"/>
  <c r="P291" i="1" l="1"/>
  <c r="Q46" i="17" s="1"/>
  <c r="R25" i="29"/>
  <c r="R24" i="29" s="1"/>
  <c r="S30" i="29"/>
  <c r="S27" i="29"/>
  <c r="S26" i="29"/>
  <c r="S29" i="29"/>
  <c r="S28" i="29"/>
  <c r="S47" i="29"/>
  <c r="T27" i="29"/>
  <c r="T28" i="29"/>
  <c r="T26" i="29"/>
  <c r="T29" i="29"/>
  <c r="T30" i="29"/>
  <c r="T47" i="29"/>
  <c r="M171" i="17"/>
  <c r="N162" i="17"/>
  <c r="Q162" i="17"/>
  <c r="O162" i="17"/>
  <c r="R162" i="17"/>
  <c r="L171" i="17"/>
  <c r="J162" i="17"/>
  <c r="P274" i="1"/>
  <c r="P272" i="1" s="1"/>
  <c r="E171" i="17"/>
  <c r="T171" i="17"/>
  <c r="P171" i="17"/>
  <c r="I162" i="17"/>
  <c r="G171" i="17"/>
  <c r="K171" i="17"/>
  <c r="R25" i="30"/>
  <c r="R24" i="30" s="1"/>
  <c r="R16" i="30"/>
  <c r="R15" i="30" s="1"/>
  <c r="N110" i="30"/>
  <c r="M110" i="30"/>
  <c r="S171" i="17"/>
  <c r="H171" i="17"/>
  <c r="E111" i="29"/>
  <c r="E110" i="30"/>
  <c r="D111" i="30"/>
  <c r="R110" i="30"/>
  <c r="F162" i="17"/>
  <c r="F171" i="17"/>
  <c r="Q275" i="1"/>
  <c r="P131" i="28"/>
  <c r="J211" i="28"/>
  <c r="J214" i="28" s="1"/>
  <c r="J217" i="28" s="1"/>
  <c r="J220" i="28" s="1"/>
  <c r="J5" i="28"/>
  <c r="N159" i="28"/>
  <c r="J25" i="14"/>
  <c r="J31" i="14"/>
  <c r="Q291" i="1" l="1"/>
  <c r="R46" i="17" s="1"/>
  <c r="T25" i="29"/>
  <c r="T24" i="29" s="1"/>
  <c r="S25" i="29"/>
  <c r="S24" i="29" s="1"/>
  <c r="Q274" i="1"/>
  <c r="Q272" i="1" s="1"/>
  <c r="S25" i="30"/>
  <c r="S24" i="30" s="1"/>
  <c r="S16" i="30"/>
  <c r="S15" i="30" s="1"/>
  <c r="E170" i="29"/>
  <c r="E138" i="29"/>
  <c r="E137" i="29" s="1"/>
  <c r="E110" i="29"/>
  <c r="E161" i="29" s="1"/>
  <c r="D110" i="30"/>
  <c r="S275" i="1"/>
  <c r="R275" i="1"/>
  <c r="K5" i="28"/>
  <c r="K211" i="28"/>
  <c r="K214" i="28" s="1"/>
  <c r="K217" i="28" s="1"/>
  <c r="K220" i="28" s="1"/>
  <c r="Q131" i="28"/>
  <c r="O159" i="28"/>
  <c r="K25" i="14"/>
  <c r="K31" i="14"/>
  <c r="S291" i="1" l="1"/>
  <c r="T46" i="17" s="1"/>
  <c r="R291" i="1"/>
  <c r="S46" i="17" s="1"/>
  <c r="S274" i="1"/>
  <c r="S272" i="1" s="1"/>
  <c r="R274" i="1"/>
  <c r="R272" i="1" s="1"/>
  <c r="T25" i="30"/>
  <c r="T24" i="30" s="1"/>
  <c r="T16" i="30"/>
  <c r="T15" i="30" s="1"/>
  <c r="L211" i="28"/>
  <c r="L214" i="28" s="1"/>
  <c r="L217" i="28" s="1"/>
  <c r="L220" i="28" s="1"/>
  <c r="L5" i="28"/>
  <c r="P159" i="28"/>
  <c r="R131" i="28"/>
  <c r="L25" i="14"/>
  <c r="L31" i="14"/>
  <c r="S131" i="28" l="1"/>
  <c r="Q159" i="28"/>
  <c r="M211" i="28"/>
  <c r="M214" i="28" s="1"/>
  <c r="M217" i="28" s="1"/>
  <c r="M220" i="28" s="1"/>
  <c r="M5" i="28"/>
  <c r="M31" i="14"/>
  <c r="M25" i="14"/>
  <c r="R159" i="28" l="1"/>
  <c r="N5" i="28"/>
  <c r="N211" i="28"/>
  <c r="N214" i="28" s="1"/>
  <c r="N217" i="28" s="1"/>
  <c r="N220" i="28" s="1"/>
  <c r="T131" i="28"/>
  <c r="N25" i="14"/>
  <c r="N31" i="14"/>
  <c r="O211" i="28" l="1"/>
  <c r="O214" i="28" s="1"/>
  <c r="O217" i="28" s="1"/>
  <c r="O220" i="28" s="1"/>
  <c r="O5" i="28"/>
  <c r="S159" i="28"/>
  <c r="O25" i="14"/>
  <c r="O31" i="14"/>
  <c r="T159" i="28" l="1"/>
  <c r="P211" i="28"/>
  <c r="P214" i="28" s="1"/>
  <c r="P217" i="28" s="1"/>
  <c r="P220" i="28" s="1"/>
  <c r="P5" i="28"/>
  <c r="P25" i="14"/>
  <c r="P31" i="14"/>
  <c r="Q211" i="28" l="1"/>
  <c r="Q214" i="28" s="1"/>
  <c r="Q217" i="28" s="1"/>
  <c r="Q220" i="28" s="1"/>
  <c r="Q5" i="28"/>
  <c r="Q31" i="14"/>
  <c r="Q25" i="14"/>
  <c r="R211" i="28" l="1"/>
  <c r="R214" i="28" s="1"/>
  <c r="R217" i="28" s="1"/>
  <c r="R220" i="28" s="1"/>
  <c r="R5" i="28"/>
  <c r="R25" i="14"/>
  <c r="R31" i="14"/>
  <c r="S211" i="28" l="1"/>
  <c r="S214" i="28" s="1"/>
  <c r="S217" i="28" s="1"/>
  <c r="S220" i="28" s="1"/>
  <c r="S5" i="28"/>
  <c r="S25" i="14"/>
  <c r="T31" i="14" s="1"/>
  <c r="S31" i="14"/>
  <c r="T211" i="28" l="1"/>
  <c r="T214" i="28" s="1"/>
  <c r="T217" i="28" s="1"/>
  <c r="T220" i="28" s="1"/>
  <c r="T5" i="28"/>
  <c r="E89" i="14"/>
  <c r="E96" i="14" s="1"/>
  <c r="F96" i="14" s="1"/>
  <c r="G96" i="14" s="1"/>
  <c r="H96" i="14" s="1"/>
  <c r="I96" i="14" s="1"/>
  <c r="J96" i="14" s="1"/>
  <c r="K96" i="14" s="1"/>
  <c r="L96" i="14" s="1"/>
  <c r="M96" i="14" s="1"/>
  <c r="N96" i="14" s="1"/>
  <c r="O96" i="14" s="1"/>
  <c r="P96" i="14" s="1"/>
  <c r="Q96" i="14" s="1"/>
  <c r="R96" i="14" s="1"/>
  <c r="S96" i="14" s="1"/>
  <c r="T96" i="14" s="1"/>
  <c r="E82" i="14"/>
  <c r="F89" i="14" s="1"/>
  <c r="E56" i="14"/>
  <c r="E63" i="14" s="1"/>
  <c r="E49" i="14"/>
  <c r="F56" i="14" s="1"/>
  <c r="U211" i="28" l="1"/>
  <c r="U214" i="28" s="1"/>
  <c r="U217" i="28" s="1"/>
  <c r="U220" i="28" s="1"/>
  <c r="E149" i="28"/>
  <c r="F149" i="28" s="1"/>
  <c r="G149" i="28" s="1"/>
  <c r="H149" i="28" s="1"/>
  <c r="I149" i="28" s="1"/>
  <c r="J149" i="28" s="1"/>
  <c r="K149" i="28" s="1"/>
  <c r="L149" i="28" s="1"/>
  <c r="M149" i="28" s="1"/>
  <c r="N149" i="28" s="1"/>
  <c r="O149" i="28" s="1"/>
  <c r="P149" i="28" s="1"/>
  <c r="Q149" i="28" s="1"/>
  <c r="R149" i="28" s="1"/>
  <c r="S149" i="28" s="1"/>
  <c r="T149" i="28" s="1"/>
  <c r="U149" i="28" s="1"/>
  <c r="E121" i="28"/>
  <c r="F121" i="28" s="1"/>
  <c r="G121" i="28" s="1"/>
  <c r="H121" i="28" s="1"/>
  <c r="I121" i="28" s="1"/>
  <c r="J121" i="28" s="1"/>
  <c r="K121" i="28" s="1"/>
  <c r="L121" i="28" s="1"/>
  <c r="M121" i="28" s="1"/>
  <c r="N121" i="28" s="1"/>
  <c r="O121" i="28" s="1"/>
  <c r="P121" i="28" s="1"/>
  <c r="Q121" i="28" s="1"/>
  <c r="R121" i="28" s="1"/>
  <c r="S121" i="28" s="1"/>
  <c r="T121" i="28" s="1"/>
  <c r="F82" i="14"/>
  <c r="G89" i="14" s="1"/>
  <c r="F111" i="29"/>
  <c r="F49" i="14"/>
  <c r="G56" i="14" s="1"/>
  <c r="T111" i="29" l="1"/>
  <c r="S111" i="29"/>
  <c r="J111" i="29"/>
  <c r="H111" i="29"/>
  <c r="I111" i="29"/>
  <c r="P111" i="29"/>
  <c r="O111" i="29"/>
  <c r="N111" i="29"/>
  <c r="L111" i="29"/>
  <c r="K111" i="29"/>
  <c r="M111" i="29"/>
  <c r="G111" i="29"/>
  <c r="R111" i="29"/>
  <c r="Q111" i="29"/>
  <c r="P66" i="14"/>
  <c r="G82" i="14"/>
  <c r="H89" i="14" s="1"/>
  <c r="Q66" i="14"/>
  <c r="M66" i="14"/>
  <c r="K66" i="14"/>
  <c r="L66" i="14"/>
  <c r="S66" i="14"/>
  <c r="O66" i="14"/>
  <c r="G66" i="14"/>
  <c r="H66" i="14"/>
  <c r="T66" i="14"/>
  <c r="I66" i="14"/>
  <c r="G49" i="14"/>
  <c r="H56" i="14" s="1"/>
  <c r="R66" i="14"/>
  <c r="N66" i="14"/>
  <c r="J66" i="14"/>
  <c r="J111" i="28" l="1"/>
  <c r="J110" i="28" s="1"/>
  <c r="J161" i="28" s="1"/>
  <c r="O111" i="28"/>
  <c r="O138" i="28" s="1"/>
  <c r="O137" i="28" s="1"/>
  <c r="M111" i="28"/>
  <c r="M138" i="28" s="1"/>
  <c r="M137" i="28" s="1"/>
  <c r="N111" i="28"/>
  <c r="N110" i="28" s="1"/>
  <c r="N161" i="28" s="1"/>
  <c r="S111" i="28"/>
  <c r="S138" i="28" s="1"/>
  <c r="S137" i="28" s="1"/>
  <c r="H111" i="28"/>
  <c r="H138" i="28" s="1"/>
  <c r="H137" i="28" s="1"/>
  <c r="L111" i="28"/>
  <c r="L138" i="28" s="1"/>
  <c r="L137" i="28" s="1"/>
  <c r="T111" i="28"/>
  <c r="T138" i="28" s="1"/>
  <c r="T137" i="28" s="1"/>
  <c r="Q111" i="28"/>
  <c r="Q170" i="28" s="1"/>
  <c r="R111" i="28"/>
  <c r="G111" i="28"/>
  <c r="G138" i="28" s="1"/>
  <c r="G137" i="28" s="1"/>
  <c r="K111" i="28"/>
  <c r="K110" i="28" s="1"/>
  <c r="K161" i="28" s="1"/>
  <c r="P111" i="28"/>
  <c r="P110" i="28" s="1"/>
  <c r="P161" i="28" s="1"/>
  <c r="I111" i="28"/>
  <c r="I138" i="28" s="1"/>
  <c r="I137" i="28" s="1"/>
  <c r="D200" i="29"/>
  <c r="R110" i="29"/>
  <c r="R161" i="29" s="1"/>
  <c r="R170" i="29"/>
  <c r="R138" i="29"/>
  <c r="R137" i="29" s="1"/>
  <c r="L138" i="29"/>
  <c r="L137" i="29" s="1"/>
  <c r="L170" i="29"/>
  <c r="L110" i="29"/>
  <c r="L161" i="29" s="1"/>
  <c r="H110" i="29"/>
  <c r="H161" i="29" s="1"/>
  <c r="H170" i="29"/>
  <c r="H138" i="29"/>
  <c r="H137" i="29" s="1"/>
  <c r="S138" i="29"/>
  <c r="S137" i="29" s="1"/>
  <c r="S170" i="29"/>
  <c r="S110" i="29"/>
  <c r="S161" i="29" s="1"/>
  <c r="T138" i="29"/>
  <c r="T137" i="29" s="1"/>
  <c r="T110" i="29"/>
  <c r="T161" i="29" s="1"/>
  <c r="T170" i="29"/>
  <c r="F110" i="29"/>
  <c r="F170" i="29"/>
  <c r="F138" i="29"/>
  <c r="F137" i="29" s="1"/>
  <c r="D111" i="29"/>
  <c r="L129" i="14" s="1"/>
  <c r="L127" i="14" s="1"/>
  <c r="N170" i="29"/>
  <c r="N110" i="29"/>
  <c r="N161" i="29" s="1"/>
  <c r="N138" i="29"/>
  <c r="N137" i="29" s="1"/>
  <c r="Q110" i="29"/>
  <c r="Q161" i="29" s="1"/>
  <c r="Q170" i="29"/>
  <c r="Q138" i="29"/>
  <c r="Q137" i="29" s="1"/>
  <c r="M138" i="29"/>
  <c r="M137" i="29" s="1"/>
  <c r="M170" i="29"/>
  <c r="M110" i="29"/>
  <c r="M161" i="29" s="1"/>
  <c r="K110" i="29"/>
  <c r="K161" i="29" s="1"/>
  <c r="K138" i="29"/>
  <c r="K137" i="29" s="1"/>
  <c r="K170" i="29"/>
  <c r="O138" i="29"/>
  <c r="O137" i="29" s="1"/>
  <c r="O110" i="29"/>
  <c r="O161" i="29" s="1"/>
  <c r="O170" i="29"/>
  <c r="P138" i="29"/>
  <c r="P137" i="29" s="1"/>
  <c r="P170" i="29"/>
  <c r="P110" i="29"/>
  <c r="P161" i="29" s="1"/>
  <c r="G138" i="29"/>
  <c r="G137" i="29" s="1"/>
  <c r="G110" i="29"/>
  <c r="G161" i="29" s="1"/>
  <c r="G170" i="29"/>
  <c r="I138" i="29"/>
  <c r="I137" i="29" s="1"/>
  <c r="I170" i="29"/>
  <c r="I110" i="29"/>
  <c r="I161" i="29" s="1"/>
  <c r="J110" i="29"/>
  <c r="J161" i="29" s="1"/>
  <c r="J138" i="29"/>
  <c r="J137" i="29" s="1"/>
  <c r="J170" i="29"/>
  <c r="R138" i="28"/>
  <c r="R137" i="28" s="1"/>
  <c r="F138" i="28"/>
  <c r="F137" i="28" s="1"/>
  <c r="H82" i="14"/>
  <c r="I89" i="14" s="1"/>
  <c r="H49" i="14"/>
  <c r="I56" i="14" s="1"/>
  <c r="M110" i="28" l="1"/>
  <c r="M161" i="28" s="1"/>
  <c r="F161" i="29"/>
  <c r="D110" i="29"/>
  <c r="I82" i="14"/>
  <c r="J89" i="14" s="1"/>
  <c r="L110" i="28"/>
  <c r="L161" i="28" s="1"/>
  <c r="T110" i="28"/>
  <c r="T161" i="28" s="1"/>
  <c r="K170" i="28"/>
  <c r="K138" i="28"/>
  <c r="K137" i="28" s="1"/>
  <c r="L170" i="28"/>
  <c r="I110" i="28"/>
  <c r="I161" i="28" s="1"/>
  <c r="I170" i="28"/>
  <c r="Q110" i="28"/>
  <c r="Q161" i="28" s="1"/>
  <c r="H170" i="28"/>
  <c r="F170" i="28"/>
  <c r="M170" i="28"/>
  <c r="G110" i="28"/>
  <c r="G161" i="28" s="1"/>
  <c r="R170" i="28"/>
  <c r="G170" i="28"/>
  <c r="R110" i="28"/>
  <c r="R161" i="28" s="1"/>
  <c r="T170" i="28"/>
  <c r="S110" i="28"/>
  <c r="S161" i="28" s="1"/>
  <c r="S170" i="28"/>
  <c r="Q138" i="28"/>
  <c r="Q137" i="28" s="1"/>
  <c r="F110" i="28"/>
  <c r="F161" i="28" s="1"/>
  <c r="N170" i="28"/>
  <c r="O110" i="28"/>
  <c r="O161" i="28" s="1"/>
  <c r="H110" i="28"/>
  <c r="H161" i="28" s="1"/>
  <c r="N138" i="28"/>
  <c r="N137" i="28" s="1"/>
  <c r="J170" i="28"/>
  <c r="P170" i="28"/>
  <c r="J138" i="28"/>
  <c r="J137" i="28" s="1"/>
  <c r="P138" i="28"/>
  <c r="P137" i="28" s="1"/>
  <c r="O170" i="28"/>
  <c r="I49" i="14"/>
  <c r="J56" i="14" s="1"/>
  <c r="J82" i="14" l="1"/>
  <c r="K89" i="14" s="1"/>
  <c r="J49" i="14"/>
  <c r="K56" i="14" s="1"/>
  <c r="K82" i="14" l="1"/>
  <c r="L82" i="14" s="1"/>
  <c r="K49" i="14"/>
  <c r="L56" i="14" s="1"/>
  <c r="L89" i="14" l="1"/>
  <c r="M82" i="14"/>
  <c r="M89" i="14"/>
  <c r="L49" i="14"/>
  <c r="M56" i="14" s="1"/>
  <c r="N89" i="14" l="1"/>
  <c r="N82" i="14"/>
  <c r="M49" i="14"/>
  <c r="N56" i="14" s="1"/>
  <c r="O82" i="14" l="1"/>
  <c r="O89" i="14"/>
  <c r="N49" i="14"/>
  <c r="O56" i="14" s="1"/>
  <c r="P89" i="14" l="1"/>
  <c r="P82" i="14"/>
  <c r="O49" i="14"/>
  <c r="P56" i="14" s="1"/>
  <c r="Q82" i="14" l="1"/>
  <c r="Q89" i="14"/>
  <c r="P49" i="14"/>
  <c r="Q56" i="14" s="1"/>
  <c r="R89" i="14" l="1"/>
  <c r="R82" i="14"/>
  <c r="Q49" i="14"/>
  <c r="R56" i="14" s="1"/>
  <c r="S82" i="14" l="1"/>
  <c r="T89" i="14" s="1"/>
  <c r="S89" i="14"/>
  <c r="R49" i="14"/>
  <c r="S56" i="14" s="1"/>
  <c r="S49" i="14" l="1"/>
  <c r="T56" i="14" s="1"/>
  <c r="E134" i="17" l="1"/>
  <c r="E195" i="17" l="1"/>
  <c r="E133" i="17"/>
  <c r="E132" i="28"/>
  <c r="E194" i="28" l="1"/>
  <c r="E194" i="29"/>
  <c r="E132" i="29"/>
  <c r="T35" i="28" l="1"/>
  <c r="P35" i="28"/>
  <c r="L35" i="28"/>
  <c r="H35" i="28"/>
  <c r="S35" i="28"/>
  <c r="O35" i="28"/>
  <c r="K35" i="28"/>
  <c r="G35" i="28"/>
  <c r="N35" i="28"/>
  <c r="F35" i="28"/>
  <c r="M35" i="28"/>
  <c r="E35" i="28"/>
  <c r="R35" i="28"/>
  <c r="J35" i="28"/>
  <c r="Q35" i="28"/>
  <c r="I35" i="28"/>
  <c r="T36" i="28"/>
  <c r="P36" i="28"/>
  <c r="L36" i="28"/>
  <c r="H36" i="28"/>
  <c r="S36" i="28"/>
  <c r="O36" i="28"/>
  <c r="K36" i="28"/>
  <c r="G36" i="28"/>
  <c r="N36" i="28"/>
  <c r="F36" i="28"/>
  <c r="M36" i="28"/>
  <c r="E36" i="28"/>
  <c r="R36" i="28"/>
  <c r="J36" i="28"/>
  <c r="Q36" i="28"/>
  <c r="I36" i="28"/>
  <c r="G36" i="17"/>
  <c r="K36" i="17"/>
  <c r="O36" i="17"/>
  <c r="S36" i="17"/>
  <c r="H36" i="17"/>
  <c r="M36" i="17"/>
  <c r="R36" i="17"/>
  <c r="I36" i="17"/>
  <c r="P36" i="17"/>
  <c r="J36" i="17"/>
  <c r="Q36" i="17"/>
  <c r="L36" i="17"/>
  <c r="N36" i="17"/>
  <c r="T36" i="17"/>
  <c r="F36" i="17"/>
  <c r="E36" i="17"/>
  <c r="F35" i="17"/>
  <c r="J35" i="17"/>
  <c r="N35" i="17"/>
  <c r="R35" i="17"/>
  <c r="G35" i="17"/>
  <c r="L35" i="17"/>
  <c r="Q35" i="17"/>
  <c r="I35" i="17"/>
  <c r="P35" i="17"/>
  <c r="E35" i="17"/>
  <c r="K35" i="17"/>
  <c r="S35" i="17"/>
  <c r="M35" i="17"/>
  <c r="O35" i="17"/>
  <c r="T35" i="17"/>
  <c r="H35" i="17"/>
  <c r="A129" i="1" l="1"/>
  <c r="A130" i="1" l="1"/>
  <c r="A131" i="1" l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F229" i="1" l="1"/>
  <c r="R38" i="30" s="1"/>
  <c r="R37" i="30" s="1"/>
  <c r="P38" i="30" l="1"/>
  <c r="P37" i="30" s="1"/>
  <c r="Q38" i="30"/>
  <c r="Q37" i="30" s="1"/>
  <c r="O38" i="30"/>
  <c r="O37" i="30" s="1"/>
  <c r="N38" i="30"/>
  <c r="N37" i="30" s="1"/>
  <c r="L38" i="30"/>
  <c r="L37" i="30" s="1"/>
  <c r="J38" i="30"/>
  <c r="J37" i="30" s="1"/>
  <c r="S38" i="30"/>
  <c r="S37" i="30" s="1"/>
  <c r="I38" i="30"/>
  <c r="I37" i="30" s="1"/>
  <c r="H38" i="30"/>
  <c r="H37" i="30" s="1"/>
  <c r="G38" i="30"/>
  <c r="G37" i="30" s="1"/>
  <c r="T38" i="30"/>
  <c r="T37" i="30" s="1"/>
  <c r="F38" i="30"/>
  <c r="F37" i="30" s="1"/>
  <c r="M38" i="30"/>
  <c r="M37" i="30" s="1"/>
  <c r="E38" i="30"/>
  <c r="E37" i="30" s="1"/>
  <c r="K38" i="30"/>
  <c r="K37" i="30" s="1"/>
  <c r="K38" i="29"/>
  <c r="K37" i="29" s="1"/>
  <c r="L38" i="29" l="1"/>
  <c r="L37" i="29" s="1"/>
  <c r="E107" i="28"/>
  <c r="F16" i="17"/>
  <c r="F15" i="17" s="1"/>
  <c r="O16" i="28"/>
  <c r="O15" i="28" s="1"/>
  <c r="H38" i="29"/>
  <c r="H37" i="29" s="1"/>
  <c r="G38" i="29"/>
  <c r="G37" i="29" s="1"/>
  <c r="J38" i="29"/>
  <c r="J37" i="29" s="1"/>
  <c r="I38" i="29"/>
  <c r="I37" i="29" s="1"/>
  <c r="F38" i="29"/>
  <c r="F37" i="29" s="1"/>
  <c r="E38" i="29"/>
  <c r="E37" i="29" s="1"/>
  <c r="F25" i="17"/>
  <c r="F24" i="17" s="1"/>
  <c r="M38" i="29" l="1"/>
  <c r="M37" i="29" s="1"/>
  <c r="G25" i="17"/>
  <c r="G24" i="17" s="1"/>
  <c r="G16" i="17"/>
  <c r="G15" i="17" s="1"/>
  <c r="P16" i="28"/>
  <c r="P15" i="28" s="1"/>
  <c r="L16" i="28"/>
  <c r="L15" i="28" s="1"/>
  <c r="G25" i="28"/>
  <c r="G24" i="28" s="1"/>
  <c r="T16" i="28"/>
  <c r="T15" i="28" s="1"/>
  <c r="N16" i="28"/>
  <c r="N15" i="28" s="1"/>
  <c r="G16" i="28"/>
  <c r="G15" i="28" s="1"/>
  <c r="S16" i="28"/>
  <c r="S15" i="28" s="1"/>
  <c r="E16" i="28"/>
  <c r="E15" i="28" s="1"/>
  <c r="F16" i="28"/>
  <c r="F15" i="28" s="1"/>
  <c r="H16" i="28"/>
  <c r="H15" i="28" s="1"/>
  <c r="I16" i="28"/>
  <c r="I15" i="28" s="1"/>
  <c r="R16" i="28"/>
  <c r="R15" i="28" s="1"/>
  <c r="K16" i="28"/>
  <c r="K15" i="28" s="1"/>
  <c r="E25" i="28"/>
  <c r="E24" i="28" s="1"/>
  <c r="M16" i="28"/>
  <c r="M15" i="28" s="1"/>
  <c r="J16" i="28"/>
  <c r="J15" i="28" s="1"/>
  <c r="Q16" i="28"/>
  <c r="Q15" i="28" s="1"/>
  <c r="E103" i="28"/>
  <c r="E95" i="28"/>
  <c r="E99" i="28"/>
  <c r="F25" i="28"/>
  <c r="F24" i="28" s="1"/>
  <c r="S25" i="28"/>
  <c r="S24" i="28" s="1"/>
  <c r="J25" i="28"/>
  <c r="J24" i="28" s="1"/>
  <c r="L25" i="28"/>
  <c r="L24" i="28" s="1"/>
  <c r="K25" i="28"/>
  <c r="K24" i="28" s="1"/>
  <c r="O25" i="28"/>
  <c r="O24" i="28" s="1"/>
  <c r="T25" i="28"/>
  <c r="T24" i="28" s="1"/>
  <c r="M25" i="28"/>
  <c r="M24" i="28" s="1"/>
  <c r="I25" i="28"/>
  <c r="I24" i="28" s="1"/>
  <c r="P25" i="28"/>
  <c r="P24" i="28" s="1"/>
  <c r="N25" i="28"/>
  <c r="N24" i="28" s="1"/>
  <c r="Q25" i="28"/>
  <c r="Q24" i="28" s="1"/>
  <c r="R25" i="28"/>
  <c r="R24" i="28" s="1"/>
  <c r="H25" i="28"/>
  <c r="H24" i="28" s="1"/>
  <c r="E91" i="28" l="1"/>
  <c r="E177" i="28" s="1"/>
  <c r="N38" i="29"/>
  <c r="N37" i="29" s="1"/>
  <c r="H25" i="17"/>
  <c r="H24" i="17" s="1"/>
  <c r="H16" i="17"/>
  <c r="H15" i="17" s="1"/>
  <c r="E51" i="28"/>
  <c r="F215" i="28"/>
  <c r="F215" i="29"/>
  <c r="O38" i="29" l="1"/>
  <c r="O37" i="29" s="1"/>
  <c r="I16" i="17"/>
  <c r="I15" i="17" s="1"/>
  <c r="I25" i="17"/>
  <c r="I24" i="17" s="1"/>
  <c r="P38" i="29" l="1"/>
  <c r="P37" i="29" s="1"/>
  <c r="J16" i="17"/>
  <c r="J15" i="17" s="1"/>
  <c r="J25" i="17"/>
  <c r="J24" i="17" s="1"/>
  <c r="Q38" i="29" l="1"/>
  <c r="Q37" i="29" s="1"/>
  <c r="Q116" i="17"/>
  <c r="Q113" i="17" s="1"/>
  <c r="Q164" i="17" s="1"/>
  <c r="Q173" i="17" s="1"/>
  <c r="S116" i="17"/>
  <c r="S113" i="17" s="1"/>
  <c r="S164" i="17" s="1"/>
  <c r="S173" i="17" s="1"/>
  <c r="R116" i="17"/>
  <c r="R113" i="17" s="1"/>
  <c r="R164" i="17" s="1"/>
  <c r="R173" i="17" s="1"/>
  <c r="K16" i="17"/>
  <c r="K15" i="17" s="1"/>
  <c r="K25" i="17"/>
  <c r="K24" i="17" s="1"/>
  <c r="O116" i="17"/>
  <c r="O113" i="17" s="1"/>
  <c r="O164" i="17" s="1"/>
  <c r="O173" i="17" s="1"/>
  <c r="P116" i="17"/>
  <c r="P113" i="17" s="1"/>
  <c r="P164" i="17" s="1"/>
  <c r="P173" i="17" s="1"/>
  <c r="N116" i="17"/>
  <c r="N113" i="17" s="1"/>
  <c r="N164" i="17" s="1"/>
  <c r="N173" i="17" s="1"/>
  <c r="T116" i="17"/>
  <c r="T113" i="17" s="1"/>
  <c r="T164" i="17" s="1"/>
  <c r="T173" i="17" s="1"/>
  <c r="M116" i="17"/>
  <c r="T140" i="17" l="1"/>
  <c r="T138" i="17" s="1"/>
  <c r="N140" i="17"/>
  <c r="N138" i="17" s="1"/>
  <c r="O140" i="17"/>
  <c r="O138" i="17" s="1"/>
  <c r="P140" i="17"/>
  <c r="P138" i="17" s="1"/>
  <c r="R140" i="17"/>
  <c r="R138" i="17" s="1"/>
  <c r="S140" i="17"/>
  <c r="S138" i="17" s="1"/>
  <c r="Q140" i="17"/>
  <c r="Q138" i="17" s="1"/>
  <c r="R38" i="29"/>
  <c r="R37" i="29" s="1"/>
  <c r="L16" i="17"/>
  <c r="L15" i="17" s="1"/>
  <c r="L25" i="17"/>
  <c r="L24" i="17" s="1"/>
  <c r="M113" i="28"/>
  <c r="M113" i="17"/>
  <c r="M164" i="17" s="1"/>
  <c r="M173" i="17" s="1"/>
  <c r="D116" i="17"/>
  <c r="M140" i="17" l="1"/>
  <c r="M138" i="17" s="1"/>
  <c r="T38" i="29"/>
  <c r="T37" i="29" s="1"/>
  <c r="S38" i="29"/>
  <c r="S37" i="29" s="1"/>
  <c r="M16" i="17"/>
  <c r="M15" i="17" s="1"/>
  <c r="M25" i="17"/>
  <c r="M24" i="17" s="1"/>
  <c r="M163" i="29"/>
  <c r="M172" i="29" s="1"/>
  <c r="M140" i="29"/>
  <c r="M140" i="28"/>
  <c r="M163" i="28"/>
  <c r="M172" i="28" s="1"/>
  <c r="C109" i="14"/>
  <c r="F2" i="17" l="1"/>
  <c r="G2" i="17" s="1"/>
  <c r="H2" i="17" s="1"/>
  <c r="I2" i="17" s="1"/>
  <c r="J2" i="17" s="1"/>
  <c r="K2" i="17" s="1"/>
  <c r="L2" i="17" s="1"/>
  <c r="M2" i="17" s="1"/>
  <c r="N2" i="17" s="1"/>
  <c r="O2" i="17" s="1"/>
  <c r="P2" i="17" s="1"/>
  <c r="Q2" i="17" s="1"/>
  <c r="R2" i="17" s="1"/>
  <c r="S2" i="17" s="1"/>
  <c r="T2" i="17" s="1"/>
  <c r="C98" i="14" l="1"/>
  <c r="D112" i="17" l="1"/>
  <c r="D128" i="14" s="1"/>
  <c r="F63" i="14"/>
  <c r="E8" i="1"/>
  <c r="D152" i="17" l="1"/>
  <c r="D124" i="17"/>
  <c r="D151" i="29"/>
  <c r="D123" i="29"/>
  <c r="D151" i="28"/>
  <c r="D123" i="28"/>
  <c r="U209" i="17"/>
  <c r="G63" i="14"/>
  <c r="E110" i="17" l="1"/>
  <c r="H63" i="14"/>
  <c r="F110" i="17"/>
  <c r="I63" i="14" l="1"/>
  <c r="G110" i="17"/>
  <c r="J63" i="14" l="1"/>
  <c r="H110" i="17"/>
  <c r="K63" i="14" l="1"/>
  <c r="I110" i="17"/>
  <c r="E5" i="17"/>
  <c r="F208" i="17" s="1"/>
  <c r="F211" i="17" s="1"/>
  <c r="F214" i="17" s="1"/>
  <c r="F217" i="17" s="1"/>
  <c r="D232" i="1"/>
  <c r="E232" i="1" s="1"/>
  <c r="T45" i="17"/>
  <c r="F209" i="17" l="1"/>
  <c r="R209" i="17"/>
  <c r="N209" i="17"/>
  <c r="J209" i="17"/>
  <c r="F212" i="17"/>
  <c r="F215" i="17"/>
  <c r="Q209" i="17"/>
  <c r="M209" i="17"/>
  <c r="I209" i="17"/>
  <c r="T209" i="17"/>
  <c r="P209" i="17"/>
  <c r="L209" i="17"/>
  <c r="H209" i="17"/>
  <c r="F218" i="17"/>
  <c r="S209" i="17"/>
  <c r="O209" i="17"/>
  <c r="K209" i="17"/>
  <c r="G209" i="17"/>
  <c r="L63" i="14"/>
  <c r="Q45" i="17"/>
  <c r="M45" i="17"/>
  <c r="I45" i="17"/>
  <c r="P45" i="17"/>
  <c r="L45" i="17"/>
  <c r="H45" i="17"/>
  <c r="S45" i="17"/>
  <c r="O45" i="17"/>
  <c r="K45" i="17"/>
  <c r="G45" i="17"/>
  <c r="E45" i="17"/>
  <c r="R45" i="17"/>
  <c r="N45" i="17"/>
  <c r="J45" i="17"/>
  <c r="F45" i="17"/>
  <c r="E238" i="1"/>
  <c r="F232" i="1"/>
  <c r="J110" i="17" l="1"/>
  <c r="M63" i="14"/>
  <c r="K110" i="17"/>
  <c r="F238" i="1"/>
  <c r="G232" i="1"/>
  <c r="N63" i="14" l="1"/>
  <c r="L110" i="17"/>
  <c r="N110" i="17"/>
  <c r="G238" i="1"/>
  <c r="H232" i="1"/>
  <c r="O63" i="14" l="1"/>
  <c r="O110" i="17"/>
  <c r="I232" i="1"/>
  <c r="H238" i="1"/>
  <c r="M110" i="17" l="1"/>
  <c r="P63" i="14"/>
  <c r="P110" i="17"/>
  <c r="J232" i="1"/>
  <c r="I238" i="1"/>
  <c r="Q63" i="14" l="1"/>
  <c r="Q110" i="17"/>
  <c r="K232" i="1"/>
  <c r="J238" i="1"/>
  <c r="R63" i="14" l="1"/>
  <c r="R110" i="17"/>
  <c r="L232" i="1"/>
  <c r="K238" i="1"/>
  <c r="S63" i="14" l="1"/>
  <c r="S110" i="17"/>
  <c r="M232" i="1"/>
  <c r="L238" i="1"/>
  <c r="T110" i="17" l="1"/>
  <c r="D111" i="17"/>
  <c r="D129" i="14" s="1"/>
  <c r="T63" i="14"/>
  <c r="N232" i="1"/>
  <c r="M238" i="1"/>
  <c r="O232" i="1" l="1"/>
  <c r="N238" i="1"/>
  <c r="P232" i="1" l="1"/>
  <c r="O238" i="1"/>
  <c r="Q232" i="1" l="1"/>
  <c r="P238" i="1"/>
  <c r="R232" i="1" l="1"/>
  <c r="Q238" i="1"/>
  <c r="S232" i="1" l="1"/>
  <c r="R238" i="1"/>
  <c r="S238" i="1" l="1"/>
  <c r="E14" i="1" l="1"/>
  <c r="D2" i="27" s="1"/>
  <c r="E2" i="27" s="1"/>
  <c r="F2" i="27" s="1"/>
  <c r="G2" i="27" s="1"/>
  <c r="H2" i="27" s="1"/>
  <c r="I2" i="27" s="1"/>
  <c r="J2" i="27" s="1"/>
  <c r="K2" i="27" s="1"/>
  <c r="L2" i="27" s="1"/>
  <c r="M2" i="27" s="1"/>
  <c r="N2" i="27" s="1"/>
  <c r="O2" i="27" s="1"/>
  <c r="P2" i="27" s="1"/>
  <c r="Q2" i="27" s="1"/>
  <c r="R2" i="27" s="1"/>
  <c r="S2" i="27" s="1"/>
  <c r="F93" i="30"/>
  <c r="F95" i="30" l="1"/>
  <c r="F97" i="30"/>
  <c r="F105" i="30"/>
  <c r="F107" i="30" s="1"/>
  <c r="F105" i="29"/>
  <c r="F93" i="29"/>
  <c r="F93" i="28"/>
  <c r="F105" i="28"/>
  <c r="F107" i="28" s="1"/>
  <c r="F101" i="30" l="1"/>
  <c r="F103" i="30" s="1"/>
  <c r="F99" i="30"/>
  <c r="F97" i="29"/>
  <c r="F97" i="28"/>
  <c r="F95" i="28"/>
  <c r="E122" i="1"/>
  <c r="E123" i="1" s="1"/>
  <c r="E90" i="29" l="1"/>
  <c r="E80" i="29"/>
  <c r="E70" i="29"/>
  <c r="T90" i="29"/>
  <c r="J70" i="29"/>
  <c r="M70" i="29"/>
  <c r="H80" i="29"/>
  <c r="N70" i="29"/>
  <c r="G80" i="29"/>
  <c r="K90" i="29"/>
  <c r="L90" i="29"/>
  <c r="R70" i="29"/>
  <c r="O90" i="29"/>
  <c r="S70" i="29"/>
  <c r="P70" i="29"/>
  <c r="F70" i="29"/>
  <c r="I90" i="29"/>
  <c r="T80" i="29"/>
  <c r="M90" i="29"/>
  <c r="H90" i="29"/>
  <c r="G70" i="29"/>
  <c r="K80" i="29"/>
  <c r="Q70" i="29"/>
  <c r="L70" i="29"/>
  <c r="O80" i="29"/>
  <c r="I80" i="29"/>
  <c r="T70" i="29"/>
  <c r="J90" i="29"/>
  <c r="M80" i="29"/>
  <c r="H70" i="29"/>
  <c r="N90" i="29"/>
  <c r="K70" i="29"/>
  <c r="Q90" i="29"/>
  <c r="R90" i="29"/>
  <c r="O70" i="29"/>
  <c r="S90" i="29"/>
  <c r="P90" i="29"/>
  <c r="F90" i="29"/>
  <c r="I70" i="29"/>
  <c r="J80" i="29"/>
  <c r="N80" i="29"/>
  <c r="G90" i="29"/>
  <c r="Q80" i="29"/>
  <c r="L80" i="29"/>
  <c r="R80" i="29"/>
  <c r="S80" i="29"/>
  <c r="P80" i="29"/>
  <c r="F80" i="29"/>
  <c r="G59" i="29"/>
  <c r="I59" i="29"/>
  <c r="M59" i="29"/>
  <c r="Q59" i="29"/>
  <c r="H59" i="29"/>
  <c r="L59" i="29"/>
  <c r="P59" i="29"/>
  <c r="F59" i="29"/>
  <c r="J59" i="29"/>
  <c r="N59" i="29"/>
  <c r="R59" i="29"/>
  <c r="T59" i="29"/>
  <c r="K59" i="29"/>
  <c r="O59" i="29"/>
  <c r="S59" i="29"/>
  <c r="F13" i="29"/>
  <c r="R13" i="29"/>
  <c r="G13" i="29"/>
  <c r="K13" i="29"/>
  <c r="S13" i="29"/>
  <c r="H13" i="29"/>
  <c r="L13" i="29"/>
  <c r="P13" i="29"/>
  <c r="T13" i="29"/>
  <c r="I13" i="29"/>
  <c r="Q13" i="29"/>
  <c r="M13" i="29"/>
  <c r="F91" i="30"/>
  <c r="I90" i="17"/>
  <c r="M90" i="17"/>
  <c r="Q90" i="17"/>
  <c r="E90" i="17"/>
  <c r="I80" i="17"/>
  <c r="M80" i="17"/>
  <c r="Q80" i="17"/>
  <c r="F90" i="17"/>
  <c r="J90" i="17"/>
  <c r="N90" i="17"/>
  <c r="R90" i="17"/>
  <c r="F80" i="17"/>
  <c r="J80" i="17"/>
  <c r="N80" i="17"/>
  <c r="R80" i="17"/>
  <c r="G90" i="17"/>
  <c r="K90" i="17"/>
  <c r="O90" i="17"/>
  <c r="S90" i="17"/>
  <c r="G80" i="17"/>
  <c r="K80" i="17"/>
  <c r="O80" i="17"/>
  <c r="S80" i="17"/>
  <c r="P90" i="17"/>
  <c r="P80" i="17"/>
  <c r="F70" i="17"/>
  <c r="J70" i="17"/>
  <c r="N70" i="17"/>
  <c r="R70" i="17"/>
  <c r="F59" i="17"/>
  <c r="J59" i="17"/>
  <c r="N59" i="17"/>
  <c r="R59" i="17"/>
  <c r="T90" i="17"/>
  <c r="T80" i="17"/>
  <c r="G70" i="17"/>
  <c r="K70" i="17"/>
  <c r="O70" i="17"/>
  <c r="S70" i="17"/>
  <c r="G59" i="17"/>
  <c r="K59" i="17"/>
  <c r="O59" i="17"/>
  <c r="S59" i="17"/>
  <c r="H90" i="17"/>
  <c r="H80" i="17"/>
  <c r="E80" i="17"/>
  <c r="H70" i="17"/>
  <c r="L70" i="17"/>
  <c r="P70" i="17"/>
  <c r="T70" i="17"/>
  <c r="H59" i="17"/>
  <c r="L59" i="17"/>
  <c r="P59" i="17"/>
  <c r="T59" i="17"/>
  <c r="I70" i="17"/>
  <c r="I59" i="17"/>
  <c r="M70" i="17"/>
  <c r="M59" i="17"/>
  <c r="L90" i="17"/>
  <c r="L80" i="17"/>
  <c r="Q70" i="17"/>
  <c r="Q59" i="17"/>
  <c r="E70" i="17"/>
  <c r="E59" i="17"/>
  <c r="G80" i="28"/>
  <c r="K80" i="28"/>
  <c r="O80" i="28"/>
  <c r="R90" i="28"/>
  <c r="H70" i="28"/>
  <c r="L80" i="28"/>
  <c r="P70" i="28"/>
  <c r="T90" i="28"/>
  <c r="N80" i="28"/>
  <c r="E80" i="28"/>
  <c r="I70" i="28"/>
  <c r="M80" i="28"/>
  <c r="Q70" i="28"/>
  <c r="J90" i="28"/>
  <c r="G70" i="28"/>
  <c r="K70" i="28"/>
  <c r="O70" i="28"/>
  <c r="S70" i="28"/>
  <c r="R80" i="28"/>
  <c r="T80" i="28"/>
  <c r="I90" i="28"/>
  <c r="Q90" i="28"/>
  <c r="J80" i="28"/>
  <c r="S90" i="28"/>
  <c r="F90" i="28"/>
  <c r="F70" i="28"/>
  <c r="R70" i="28"/>
  <c r="H90" i="28"/>
  <c r="P90" i="28"/>
  <c r="N70" i="28"/>
  <c r="J70" i="28"/>
  <c r="O90" i="28"/>
  <c r="H80" i="28"/>
  <c r="N90" i="28"/>
  <c r="K90" i="28"/>
  <c r="L90" i="28"/>
  <c r="T70" i="28"/>
  <c r="E70" i="28"/>
  <c r="M70" i="28"/>
  <c r="P80" i="28"/>
  <c r="I80" i="28"/>
  <c r="Q80" i="28"/>
  <c r="G90" i="28"/>
  <c r="F80" i="28"/>
  <c r="L70" i="28"/>
  <c r="S80" i="28"/>
  <c r="E90" i="28"/>
  <c r="M90" i="28"/>
  <c r="H14" i="17"/>
  <c r="I14" i="17"/>
  <c r="F14" i="17"/>
  <c r="J14" i="17"/>
  <c r="S13" i="28"/>
  <c r="J13" i="28"/>
  <c r="P13" i="28"/>
  <c r="T13" i="28"/>
  <c r="E14" i="17"/>
  <c r="M13" i="28"/>
  <c r="Q13" i="28"/>
  <c r="L14" i="17"/>
  <c r="M14" i="17"/>
  <c r="N14" i="17"/>
  <c r="R14" i="17"/>
  <c r="R13" i="28"/>
  <c r="F13" i="28"/>
  <c r="G13" i="28"/>
  <c r="N13" i="28"/>
  <c r="T14" i="17"/>
  <c r="L13" i="28"/>
  <c r="P14" i="17"/>
  <c r="Q14" i="17"/>
  <c r="G14" i="17"/>
  <c r="K14" i="17"/>
  <c r="E13" i="28"/>
  <c r="H13" i="28"/>
  <c r="K13" i="28"/>
  <c r="I13" i="28"/>
  <c r="O14" i="17"/>
  <c r="S14" i="17"/>
  <c r="O13" i="28"/>
  <c r="R59" i="28"/>
  <c r="E59" i="28"/>
  <c r="F59" i="28"/>
  <c r="J59" i="28"/>
  <c r="M59" i="28"/>
  <c r="I59" i="28"/>
  <c r="H59" i="28"/>
  <c r="L59" i="28"/>
  <c r="T59" i="28"/>
  <c r="N59" i="28"/>
  <c r="Q59" i="28"/>
  <c r="O59" i="28"/>
  <c r="G59" i="28"/>
  <c r="P59" i="28"/>
  <c r="S59" i="28"/>
  <c r="K59" i="28"/>
  <c r="E50" i="30"/>
  <c r="S13" i="30"/>
  <c r="S12" i="30" s="1"/>
  <c r="P13" i="30"/>
  <c r="P12" i="30" s="1"/>
  <c r="T13" i="30"/>
  <c r="T12" i="30" s="1"/>
  <c r="R13" i="30"/>
  <c r="R12" i="30" s="1"/>
  <c r="I13" i="30"/>
  <c r="I12" i="30" s="1"/>
  <c r="G13" i="30"/>
  <c r="G12" i="30" s="1"/>
  <c r="L13" i="30"/>
  <c r="L12" i="30" s="1"/>
  <c r="O13" i="30"/>
  <c r="O12" i="30" s="1"/>
  <c r="J13" i="30"/>
  <c r="J12" i="30" s="1"/>
  <c r="N13" i="30"/>
  <c r="N12" i="30" s="1"/>
  <c r="M13" i="30"/>
  <c r="M12" i="30" s="1"/>
  <c r="K13" i="30"/>
  <c r="K12" i="30" s="1"/>
  <c r="E13" i="30"/>
  <c r="E12" i="30" s="1"/>
  <c r="H13" i="30"/>
  <c r="H12" i="30" s="1"/>
  <c r="F13" i="30"/>
  <c r="F12" i="30" s="1"/>
  <c r="Q13" i="30"/>
  <c r="Q12" i="30" s="1"/>
  <c r="N13" i="29"/>
  <c r="O13" i="29"/>
  <c r="J13" i="29"/>
  <c r="F101" i="29"/>
  <c r="F101" i="28"/>
  <c r="F103" i="28" s="1"/>
  <c r="F99" i="28"/>
  <c r="F11" i="30" l="1"/>
  <c r="F10" i="30" s="1"/>
  <c r="L11" i="30"/>
  <c r="L10" i="30" s="1"/>
  <c r="H11" i="30"/>
  <c r="H10" i="30" s="1"/>
  <c r="G11" i="30"/>
  <c r="G10" i="30" s="1"/>
  <c r="E11" i="30"/>
  <c r="E10" i="30" s="1"/>
  <c r="J11" i="30"/>
  <c r="J10" i="30" s="1"/>
  <c r="I11" i="30"/>
  <c r="I10" i="30" s="1"/>
  <c r="S11" i="30"/>
  <c r="S10" i="30" s="1"/>
  <c r="M11" i="30"/>
  <c r="M10" i="30" s="1"/>
  <c r="T11" i="30"/>
  <c r="T10" i="30" s="1"/>
  <c r="N11" i="30"/>
  <c r="N10" i="30" s="1"/>
  <c r="P11" i="30"/>
  <c r="P10" i="30" s="1"/>
  <c r="Q11" i="30"/>
  <c r="Q10" i="30" s="1"/>
  <c r="K11" i="30"/>
  <c r="K10" i="30" s="1"/>
  <c r="O11" i="30"/>
  <c r="O10" i="30" s="1"/>
  <c r="R11" i="30"/>
  <c r="R10" i="30" s="1"/>
  <c r="F91" i="28"/>
  <c r="F177" i="28" s="1"/>
  <c r="E43" i="30"/>
  <c r="F125" i="30"/>
  <c r="E12" i="28"/>
  <c r="Q12" i="28"/>
  <c r="M12" i="28"/>
  <c r="I12" i="28"/>
  <c r="T12" i="28"/>
  <c r="P12" i="28"/>
  <c r="L12" i="28"/>
  <c r="H12" i="28"/>
  <c r="S12" i="28"/>
  <c r="O12" i="28"/>
  <c r="K12" i="28"/>
  <c r="G12" i="28"/>
  <c r="R12" i="28"/>
  <c r="N12" i="28"/>
  <c r="J12" i="28"/>
  <c r="F12" i="28"/>
  <c r="K38" i="28"/>
  <c r="O38" i="28"/>
  <c r="S38" i="28"/>
  <c r="E38" i="28"/>
  <c r="H38" i="28"/>
  <c r="M38" i="28"/>
  <c r="R38" i="28"/>
  <c r="I38" i="28"/>
  <c r="P38" i="28"/>
  <c r="G38" i="28"/>
  <c r="J38" i="28"/>
  <c r="Q38" i="28"/>
  <c r="N38" i="28"/>
  <c r="T38" i="28"/>
  <c r="F38" i="28"/>
  <c r="L38" i="28"/>
  <c r="F38" i="17"/>
  <c r="J38" i="17"/>
  <c r="N38" i="17"/>
  <c r="R38" i="17"/>
  <c r="G38" i="17"/>
  <c r="L38" i="17"/>
  <c r="Q38" i="17"/>
  <c r="M38" i="17"/>
  <c r="T38" i="17"/>
  <c r="H38" i="17"/>
  <c r="O38" i="17"/>
  <c r="I38" i="17"/>
  <c r="K38" i="17"/>
  <c r="P38" i="17"/>
  <c r="S38" i="17"/>
  <c r="M37" i="28" l="1"/>
  <c r="M11" i="28" s="1"/>
  <c r="R37" i="28"/>
  <c r="R11" i="28" s="1"/>
  <c r="T37" i="28"/>
  <c r="T11" i="28" s="1"/>
  <c r="H37" i="28"/>
  <c r="H11" i="28" s="1"/>
  <c r="I37" i="28"/>
  <c r="I11" i="28" s="1"/>
  <c r="N37" i="28"/>
  <c r="N11" i="28" s="1"/>
  <c r="E37" i="28"/>
  <c r="E11" i="28" s="1"/>
  <c r="J37" i="28"/>
  <c r="J11" i="28" s="1"/>
  <c r="P37" i="28"/>
  <c r="P11" i="28" s="1"/>
  <c r="L37" i="28"/>
  <c r="L11" i="28" s="1"/>
  <c r="Q37" i="28"/>
  <c r="Q11" i="28" s="1"/>
  <c r="O37" i="28"/>
  <c r="O11" i="28" s="1"/>
  <c r="S37" i="28"/>
  <c r="S11" i="28" s="1"/>
  <c r="G37" i="28"/>
  <c r="G11" i="28" s="1"/>
  <c r="K37" i="28"/>
  <c r="K11" i="28" s="1"/>
  <c r="F37" i="28"/>
  <c r="F11" i="28" s="1"/>
  <c r="E38" i="17"/>
  <c r="H37" i="17" l="1"/>
  <c r="L37" i="17"/>
  <c r="P37" i="17"/>
  <c r="T37" i="17"/>
  <c r="I37" i="17"/>
  <c r="M37" i="17"/>
  <c r="Q37" i="17"/>
  <c r="E37" i="17"/>
  <c r="F37" i="17"/>
  <c r="J37" i="17"/>
  <c r="N37" i="17"/>
  <c r="R37" i="17"/>
  <c r="G37" i="17"/>
  <c r="K37" i="17"/>
  <c r="O37" i="17"/>
  <c r="S37" i="17"/>
  <c r="H10" i="28" l="1"/>
  <c r="H136" i="28" s="1"/>
  <c r="N10" i="28"/>
  <c r="N136" i="28" s="1"/>
  <c r="I10" i="28"/>
  <c r="I136" i="28" s="1"/>
  <c r="L10" i="28"/>
  <c r="L136" i="28" s="1"/>
  <c r="G10" i="28"/>
  <c r="G136" i="28" s="1"/>
  <c r="J10" i="28"/>
  <c r="J136" i="28" s="1"/>
  <c r="P10" i="28"/>
  <c r="P136" i="28" s="1"/>
  <c r="O10" i="28"/>
  <c r="O136" i="28" s="1"/>
  <c r="Q10" i="28"/>
  <c r="Q136" i="28" s="1"/>
  <c r="S10" i="28"/>
  <c r="S136" i="28" s="1"/>
  <c r="E10" i="28"/>
  <c r="E136" i="28" s="1"/>
  <c r="T10" i="28"/>
  <c r="T136" i="28" s="1"/>
  <c r="F10" i="28"/>
  <c r="F136" i="28" s="1"/>
  <c r="M10" i="28"/>
  <c r="M136" i="28" s="1"/>
  <c r="R10" i="28"/>
  <c r="R136" i="28" s="1"/>
  <c r="K10" i="28"/>
  <c r="K136" i="28" s="1"/>
  <c r="F46" i="1"/>
  <c r="E63" i="1" s="1"/>
  <c r="Q126" i="28" l="1"/>
  <c r="R126" i="28"/>
  <c r="G73" i="1"/>
  <c r="E67" i="1"/>
  <c r="F66" i="1"/>
  <c r="G68" i="1"/>
  <c r="G65" i="1"/>
  <c r="F64" i="1"/>
  <c r="J77" i="1"/>
  <c r="G64" i="1"/>
  <c r="I77" i="1"/>
  <c r="G67" i="1"/>
  <c r="G66" i="1"/>
  <c r="F68" i="1"/>
  <c r="G63" i="1"/>
  <c r="H77" i="1"/>
  <c r="G76" i="1"/>
  <c r="F67" i="1"/>
  <c r="I68" i="1"/>
  <c r="E68" i="1"/>
  <c r="F63" i="1"/>
  <c r="J85" i="1"/>
  <c r="G74" i="1"/>
  <c r="E66" i="1"/>
  <c r="H68" i="1"/>
  <c r="F65" i="1"/>
  <c r="I85" i="1"/>
  <c r="E64" i="1"/>
  <c r="E72" i="1"/>
  <c r="J68" i="1"/>
  <c r="E65" i="1"/>
  <c r="H85" i="1"/>
  <c r="F84" i="1"/>
  <c r="E80" i="1"/>
  <c r="E85" i="1"/>
  <c r="F83" i="1"/>
  <c r="E81" i="1"/>
  <c r="G81" i="1"/>
  <c r="F82" i="1"/>
  <c r="G85" i="1"/>
  <c r="G82" i="1"/>
  <c r="F85" i="1"/>
  <c r="F81" i="1"/>
  <c r="G84" i="1"/>
  <c r="E82" i="1"/>
  <c r="E83" i="1"/>
  <c r="E84" i="1"/>
  <c r="G83" i="1"/>
  <c r="G80" i="1"/>
  <c r="F80" i="1"/>
  <c r="E73" i="1"/>
  <c r="G72" i="1"/>
  <c r="F72" i="1"/>
  <c r="G75" i="1"/>
  <c r="E77" i="1"/>
  <c r="E74" i="1"/>
  <c r="F75" i="1"/>
  <c r="E75" i="1"/>
  <c r="G77" i="1"/>
  <c r="F77" i="1"/>
  <c r="F76" i="1"/>
  <c r="E76" i="1"/>
  <c r="F74" i="1"/>
  <c r="F73" i="1"/>
  <c r="E68" i="28" l="1"/>
  <c r="L68" i="30"/>
  <c r="F68" i="30"/>
  <c r="G68" i="30"/>
  <c r="I68" i="30"/>
  <c r="E68" i="30"/>
  <c r="H68" i="30"/>
  <c r="J68" i="30"/>
  <c r="K68" i="30"/>
  <c r="I68" i="28"/>
  <c r="F68" i="28"/>
  <c r="H68" i="28"/>
  <c r="E68" i="17"/>
  <c r="G68" i="17"/>
  <c r="F68" i="17"/>
  <c r="G68" i="28"/>
  <c r="H68" i="17"/>
  <c r="J68" i="17"/>
  <c r="I68" i="17"/>
  <c r="E78" i="28"/>
  <c r="G78" i="30"/>
  <c r="L78" i="30"/>
  <c r="I78" i="30"/>
  <c r="F78" i="30"/>
  <c r="E78" i="30"/>
  <c r="H78" i="30"/>
  <c r="J78" i="30"/>
  <c r="K78" i="30"/>
  <c r="I78" i="28"/>
  <c r="H78" i="28"/>
  <c r="F78" i="28"/>
  <c r="E78" i="17"/>
  <c r="F78" i="17"/>
  <c r="G78" i="17"/>
  <c r="H78" i="17"/>
  <c r="G78" i="28"/>
  <c r="I78" i="17"/>
  <c r="J78" i="17"/>
  <c r="E88" i="28"/>
  <c r="E88" i="30"/>
  <c r="H88" i="30"/>
  <c r="J88" i="30"/>
  <c r="I88" i="30"/>
  <c r="K88" i="30"/>
  <c r="L88" i="30"/>
  <c r="F88" i="30"/>
  <c r="G88" i="30"/>
  <c r="H88" i="28"/>
  <c r="F88" i="28"/>
  <c r="I88" i="28"/>
  <c r="E88" i="17"/>
  <c r="G88" i="17"/>
  <c r="F88" i="17"/>
  <c r="H88" i="17"/>
  <c r="G88" i="28"/>
  <c r="J88" i="17"/>
  <c r="I88" i="17"/>
  <c r="E87" i="28"/>
  <c r="E87" i="30"/>
  <c r="G87" i="30"/>
  <c r="L87" i="30"/>
  <c r="J87" i="30"/>
  <c r="I87" i="30"/>
  <c r="H87" i="30"/>
  <c r="K87" i="30"/>
  <c r="F87" i="30"/>
  <c r="I87" i="28"/>
  <c r="H87" i="28"/>
  <c r="F87" i="28"/>
  <c r="E87" i="17"/>
  <c r="G87" i="17"/>
  <c r="F87" i="17"/>
  <c r="H87" i="17"/>
  <c r="G87" i="28"/>
  <c r="J87" i="17"/>
  <c r="I87" i="17"/>
  <c r="E67" i="28"/>
  <c r="E67" i="30"/>
  <c r="L67" i="30"/>
  <c r="J67" i="30"/>
  <c r="G67" i="30"/>
  <c r="K67" i="30"/>
  <c r="F67" i="30"/>
  <c r="H67" i="30"/>
  <c r="I67" i="30"/>
  <c r="I67" i="28"/>
  <c r="F67" i="28"/>
  <c r="H67" i="28"/>
  <c r="E67" i="17"/>
  <c r="F67" i="17"/>
  <c r="G67" i="17"/>
  <c r="G67" i="28"/>
  <c r="H67" i="17"/>
  <c r="I67" i="17"/>
  <c r="J67" i="17"/>
  <c r="E77" i="28"/>
  <c r="E77" i="30"/>
  <c r="J77" i="30"/>
  <c r="G77" i="30"/>
  <c r="L77" i="30"/>
  <c r="K77" i="30"/>
  <c r="F77" i="30"/>
  <c r="H77" i="30"/>
  <c r="I77" i="30"/>
  <c r="I77" i="28"/>
  <c r="H77" i="28"/>
  <c r="F77" i="28"/>
  <c r="E77" i="17"/>
  <c r="G77" i="17"/>
  <c r="F77" i="17"/>
  <c r="G77" i="28"/>
  <c r="H77" i="17"/>
  <c r="I77" i="17"/>
  <c r="J77" i="17"/>
  <c r="J88" i="28"/>
  <c r="J87" i="28"/>
  <c r="J77" i="28"/>
  <c r="J78" i="28"/>
  <c r="J67" i="28"/>
  <c r="J68" i="28"/>
  <c r="K78" i="29"/>
  <c r="L78" i="29"/>
  <c r="M78" i="29"/>
  <c r="N78" i="29"/>
  <c r="O78" i="29"/>
  <c r="P78" i="29"/>
  <c r="Q78" i="29"/>
  <c r="R78" i="29"/>
  <c r="S78" i="29"/>
  <c r="T78" i="29"/>
  <c r="P88" i="29"/>
  <c r="Q88" i="29"/>
  <c r="R88" i="29"/>
  <c r="T88" i="29"/>
  <c r="S88" i="29"/>
  <c r="E89" i="29"/>
  <c r="G89" i="29"/>
  <c r="T89" i="29"/>
  <c r="F89" i="29"/>
  <c r="O89" i="29"/>
  <c r="J89" i="29"/>
  <c r="S89" i="29"/>
  <c r="N89" i="29"/>
  <c r="K89" i="29"/>
  <c r="Q89" i="29"/>
  <c r="P89" i="29"/>
  <c r="H89" i="29"/>
  <c r="R89" i="29"/>
  <c r="M89" i="29"/>
  <c r="L89" i="29"/>
  <c r="I89" i="29"/>
  <c r="R68" i="30"/>
  <c r="N68" i="30"/>
  <c r="P68" i="30"/>
  <c r="T68" i="30"/>
  <c r="S68" i="30"/>
  <c r="M68" i="30"/>
  <c r="Q68" i="30"/>
  <c r="O68" i="30"/>
  <c r="T68" i="28"/>
  <c r="N68" i="28"/>
  <c r="P68" i="28"/>
  <c r="R68" i="28"/>
  <c r="L68" i="28"/>
  <c r="K68" i="28"/>
  <c r="O68" i="28"/>
  <c r="Q68" i="28"/>
  <c r="S68" i="28"/>
  <c r="M68" i="28"/>
  <c r="K68" i="17"/>
  <c r="L68" i="17"/>
  <c r="M68" i="17"/>
  <c r="O78" i="30"/>
  <c r="T78" i="30"/>
  <c r="M78" i="30"/>
  <c r="S78" i="30"/>
  <c r="Q78" i="30"/>
  <c r="P78" i="30"/>
  <c r="N78" i="30"/>
  <c r="R78" i="30"/>
  <c r="T78" i="28"/>
  <c r="N78" i="28"/>
  <c r="O78" i="28"/>
  <c r="K78" i="28"/>
  <c r="M78" i="28"/>
  <c r="Q78" i="28"/>
  <c r="S78" i="28"/>
  <c r="P78" i="28"/>
  <c r="L78" i="28"/>
  <c r="R78" i="28"/>
  <c r="K78" i="17"/>
  <c r="L78" i="17"/>
  <c r="M78" i="17"/>
  <c r="M88" i="30"/>
  <c r="R88" i="30"/>
  <c r="Q88" i="30"/>
  <c r="N88" i="30"/>
  <c r="O88" i="30"/>
  <c r="P88" i="30"/>
  <c r="T88" i="30"/>
  <c r="S88" i="30"/>
  <c r="T88" i="28"/>
  <c r="K88" i="28"/>
  <c r="O88" i="28"/>
  <c r="N88" i="28"/>
  <c r="M88" i="28"/>
  <c r="R88" i="28"/>
  <c r="L88" i="28"/>
  <c r="P88" i="28"/>
  <c r="Q88" i="28"/>
  <c r="S88" i="28"/>
  <c r="K88" i="17"/>
  <c r="L88" i="17"/>
  <c r="M88" i="17"/>
  <c r="K87" i="29"/>
  <c r="O87" i="29"/>
  <c r="S87" i="29"/>
  <c r="L87" i="29"/>
  <c r="Q87" i="29"/>
  <c r="M87" i="29"/>
  <c r="R87" i="29"/>
  <c r="N87" i="29"/>
  <c r="P87" i="29"/>
  <c r="T87" i="29"/>
  <c r="F69" i="29"/>
  <c r="J69" i="29"/>
  <c r="N69" i="29"/>
  <c r="R69" i="29"/>
  <c r="G69" i="29"/>
  <c r="K69" i="29"/>
  <c r="O69" i="29"/>
  <c r="S69" i="29"/>
  <c r="H69" i="29"/>
  <c r="P69" i="29"/>
  <c r="I69" i="29"/>
  <c r="Q69" i="29"/>
  <c r="T69" i="29"/>
  <c r="L69" i="29"/>
  <c r="E69" i="29"/>
  <c r="M69" i="29"/>
  <c r="H74" i="29"/>
  <c r="L74" i="29"/>
  <c r="P74" i="29"/>
  <c r="T74" i="29"/>
  <c r="I74" i="29"/>
  <c r="N74" i="29"/>
  <c r="S74" i="29"/>
  <c r="J74" i="29"/>
  <c r="O74" i="29"/>
  <c r="E74" i="29"/>
  <c r="M74" i="29"/>
  <c r="F74" i="29"/>
  <c r="Q74" i="29"/>
  <c r="R74" i="29"/>
  <c r="G74" i="29"/>
  <c r="K74" i="29"/>
  <c r="K67" i="29"/>
  <c r="O67" i="29"/>
  <c r="S67" i="29"/>
  <c r="L67" i="29"/>
  <c r="Q67" i="29"/>
  <c r="M67" i="29"/>
  <c r="R67" i="29"/>
  <c r="T67" i="29"/>
  <c r="N67" i="29"/>
  <c r="P67" i="29"/>
  <c r="F66" i="29"/>
  <c r="J66" i="29"/>
  <c r="N66" i="29"/>
  <c r="R66" i="29"/>
  <c r="K66" i="29"/>
  <c r="P66" i="29"/>
  <c r="G66" i="29"/>
  <c r="L66" i="29"/>
  <c r="Q66" i="29"/>
  <c r="M66" i="29"/>
  <c r="E66" i="29"/>
  <c r="O66" i="29"/>
  <c r="H66" i="29"/>
  <c r="S66" i="29"/>
  <c r="T66" i="29"/>
  <c r="I66" i="29"/>
  <c r="G63" i="29"/>
  <c r="K63" i="29"/>
  <c r="O63" i="29"/>
  <c r="S63" i="29"/>
  <c r="H63" i="29"/>
  <c r="M63" i="29"/>
  <c r="R63" i="29"/>
  <c r="I63" i="29"/>
  <c r="N63" i="29"/>
  <c r="T63" i="29"/>
  <c r="E63" i="29"/>
  <c r="P63" i="29"/>
  <c r="F63" i="29"/>
  <c r="Q63" i="29"/>
  <c r="J63" i="29"/>
  <c r="L63" i="29"/>
  <c r="F83" i="29"/>
  <c r="G83" i="29"/>
  <c r="K83" i="29"/>
  <c r="O83" i="29"/>
  <c r="S83" i="29"/>
  <c r="H83" i="29"/>
  <c r="M83" i="29"/>
  <c r="R83" i="29"/>
  <c r="I83" i="29"/>
  <c r="N83" i="29"/>
  <c r="T83" i="29"/>
  <c r="J83" i="29"/>
  <c r="L83" i="29"/>
  <c r="P83" i="29"/>
  <c r="Q83" i="29"/>
  <c r="E83" i="29"/>
  <c r="F86" i="29"/>
  <c r="J86" i="29"/>
  <c r="N86" i="29"/>
  <c r="R86" i="29"/>
  <c r="K86" i="29"/>
  <c r="P86" i="29"/>
  <c r="E86" i="29"/>
  <c r="G86" i="29"/>
  <c r="L86" i="29"/>
  <c r="Q86" i="29"/>
  <c r="H86" i="29"/>
  <c r="S86" i="29"/>
  <c r="I86" i="29"/>
  <c r="T86" i="29"/>
  <c r="M86" i="29"/>
  <c r="O86" i="29"/>
  <c r="H64" i="29"/>
  <c r="L64" i="29"/>
  <c r="P64" i="29"/>
  <c r="T64" i="29"/>
  <c r="I64" i="29"/>
  <c r="N64" i="29"/>
  <c r="S64" i="29"/>
  <c r="E64" i="29"/>
  <c r="J64" i="29"/>
  <c r="O64" i="29"/>
  <c r="K64" i="29"/>
  <c r="M64" i="29"/>
  <c r="Q64" i="29"/>
  <c r="F64" i="29"/>
  <c r="R64" i="29"/>
  <c r="G64" i="29"/>
  <c r="G73" i="29"/>
  <c r="K73" i="29"/>
  <c r="O73" i="29"/>
  <c r="S73" i="29"/>
  <c r="H73" i="29"/>
  <c r="M73" i="29"/>
  <c r="R73" i="29"/>
  <c r="I73" i="29"/>
  <c r="N73" i="29"/>
  <c r="T73" i="29"/>
  <c r="F73" i="29"/>
  <c r="Q73" i="29"/>
  <c r="E73" i="29"/>
  <c r="J73" i="29"/>
  <c r="L73" i="29"/>
  <c r="P73" i="29"/>
  <c r="K77" i="29"/>
  <c r="O77" i="29"/>
  <c r="S77" i="29"/>
  <c r="L77" i="29"/>
  <c r="Q77" i="29"/>
  <c r="M77" i="29"/>
  <c r="R77" i="29"/>
  <c r="N77" i="29"/>
  <c r="P77" i="29"/>
  <c r="T77" i="29"/>
  <c r="I79" i="29"/>
  <c r="M79" i="29"/>
  <c r="Q79" i="29"/>
  <c r="E79" i="29"/>
  <c r="H79" i="29"/>
  <c r="N79" i="29"/>
  <c r="S79" i="29"/>
  <c r="J79" i="29"/>
  <c r="O79" i="29"/>
  <c r="T79" i="29"/>
  <c r="L79" i="29"/>
  <c r="F79" i="29"/>
  <c r="P79" i="29"/>
  <c r="R79" i="29"/>
  <c r="G79" i="29"/>
  <c r="K79" i="29"/>
  <c r="F76" i="29"/>
  <c r="J76" i="29"/>
  <c r="N76" i="29"/>
  <c r="R76" i="29"/>
  <c r="K76" i="29"/>
  <c r="P76" i="29"/>
  <c r="E76" i="29"/>
  <c r="G76" i="29"/>
  <c r="L76" i="29"/>
  <c r="Q76" i="29"/>
  <c r="O76" i="29"/>
  <c r="H76" i="29"/>
  <c r="S76" i="29"/>
  <c r="I76" i="29"/>
  <c r="T76" i="29"/>
  <c r="M76" i="29"/>
  <c r="I75" i="29"/>
  <c r="M75" i="29"/>
  <c r="Q75" i="29"/>
  <c r="E75" i="29"/>
  <c r="J75" i="29"/>
  <c r="O75" i="29"/>
  <c r="T75" i="29"/>
  <c r="F75" i="29"/>
  <c r="K75" i="29"/>
  <c r="P75" i="29"/>
  <c r="H75" i="29"/>
  <c r="S75" i="29"/>
  <c r="L75" i="29"/>
  <c r="N75" i="29"/>
  <c r="R75" i="29"/>
  <c r="G75" i="29"/>
  <c r="I85" i="29"/>
  <c r="M85" i="29"/>
  <c r="Q85" i="29"/>
  <c r="E85" i="29"/>
  <c r="J85" i="29"/>
  <c r="O85" i="29"/>
  <c r="T85" i="29"/>
  <c r="F85" i="29"/>
  <c r="K85" i="29"/>
  <c r="P85" i="29"/>
  <c r="L85" i="29"/>
  <c r="N85" i="29"/>
  <c r="G85" i="29"/>
  <c r="R85" i="29"/>
  <c r="H85" i="29"/>
  <c r="S85" i="29"/>
  <c r="I65" i="29"/>
  <c r="M65" i="29"/>
  <c r="Q65" i="29"/>
  <c r="J65" i="29"/>
  <c r="O65" i="29"/>
  <c r="T65" i="29"/>
  <c r="F65" i="29"/>
  <c r="K65" i="29"/>
  <c r="P65" i="29"/>
  <c r="G65" i="29"/>
  <c r="R65" i="29"/>
  <c r="H65" i="29"/>
  <c r="S65" i="29"/>
  <c r="E65" i="29"/>
  <c r="L65" i="29"/>
  <c r="N65" i="29"/>
  <c r="H84" i="29"/>
  <c r="L84" i="29"/>
  <c r="P84" i="29"/>
  <c r="T84" i="29"/>
  <c r="I84" i="29"/>
  <c r="N84" i="29"/>
  <c r="S84" i="29"/>
  <c r="J84" i="29"/>
  <c r="O84" i="29"/>
  <c r="E84" i="29"/>
  <c r="F84" i="29"/>
  <c r="Q84" i="29"/>
  <c r="G84" i="29"/>
  <c r="R84" i="29"/>
  <c r="K84" i="29"/>
  <c r="M84" i="29"/>
  <c r="H66" i="17"/>
  <c r="R66" i="28"/>
  <c r="E66" i="17"/>
  <c r="I66" i="17"/>
  <c r="K66" i="17"/>
  <c r="J66" i="17"/>
  <c r="L66" i="17"/>
  <c r="H66" i="28"/>
  <c r="L66" i="28"/>
  <c r="P66" i="28"/>
  <c r="T66" i="28"/>
  <c r="E66" i="28"/>
  <c r="M66" i="28"/>
  <c r="G66" i="17"/>
  <c r="G66" i="28"/>
  <c r="K66" i="28"/>
  <c r="O66" i="28"/>
  <c r="S66" i="28"/>
  <c r="J66" i="28"/>
  <c r="F66" i="28"/>
  <c r="N66" i="28"/>
  <c r="I66" i="28"/>
  <c r="F66" i="17"/>
  <c r="M66" i="17"/>
  <c r="Q66" i="28"/>
  <c r="J63" i="17"/>
  <c r="E63" i="28"/>
  <c r="N63" i="28"/>
  <c r="F63" i="28"/>
  <c r="K63" i="17"/>
  <c r="L63" i="17"/>
  <c r="G63" i="17"/>
  <c r="H63" i="17"/>
  <c r="F63" i="17"/>
  <c r="E63" i="17"/>
  <c r="M63" i="17"/>
  <c r="I63" i="17"/>
  <c r="H63" i="28"/>
  <c r="P63" i="28"/>
  <c r="Q63" i="28"/>
  <c r="L63" i="28"/>
  <c r="I63" i="28"/>
  <c r="G63" i="28"/>
  <c r="O63" i="28"/>
  <c r="M63" i="28"/>
  <c r="J63" i="28"/>
  <c r="S63" i="28"/>
  <c r="R63" i="28"/>
  <c r="T63" i="28"/>
  <c r="K63" i="28"/>
  <c r="E83" i="17"/>
  <c r="F83" i="17"/>
  <c r="M83" i="17"/>
  <c r="G83" i="17"/>
  <c r="I83" i="17"/>
  <c r="H83" i="17"/>
  <c r="L83" i="17"/>
  <c r="J83" i="17"/>
  <c r="E83" i="28"/>
  <c r="N83" i="28"/>
  <c r="F83" i="28"/>
  <c r="K83" i="17"/>
  <c r="G83" i="28"/>
  <c r="O83" i="28"/>
  <c r="M83" i="28"/>
  <c r="J83" i="28"/>
  <c r="S83" i="28"/>
  <c r="R83" i="28"/>
  <c r="T83" i="28"/>
  <c r="K83" i="28"/>
  <c r="L83" i="28"/>
  <c r="I83" i="28"/>
  <c r="H83" i="28"/>
  <c r="P83" i="28"/>
  <c r="Q83" i="28"/>
  <c r="R67" i="28"/>
  <c r="M67" i="17"/>
  <c r="N67" i="28"/>
  <c r="K67" i="28"/>
  <c r="S67" i="28"/>
  <c r="L67" i="28"/>
  <c r="P67" i="28"/>
  <c r="T67" i="28"/>
  <c r="M67" i="28"/>
  <c r="Q67" i="28"/>
  <c r="K67" i="17"/>
  <c r="L67" i="17"/>
  <c r="O67" i="28"/>
  <c r="K64" i="17"/>
  <c r="I64" i="17"/>
  <c r="H64" i="17"/>
  <c r="J64" i="17"/>
  <c r="M64" i="17"/>
  <c r="F64" i="17"/>
  <c r="E64" i="17"/>
  <c r="L64" i="17"/>
  <c r="G64" i="17"/>
  <c r="F64" i="28"/>
  <c r="G64" i="28"/>
  <c r="K64" i="28"/>
  <c r="S64" i="28"/>
  <c r="J64" i="28"/>
  <c r="I64" i="28"/>
  <c r="Q64" i="28"/>
  <c r="R64" i="28"/>
  <c r="O64" i="28"/>
  <c r="L64" i="28"/>
  <c r="T64" i="28"/>
  <c r="H64" i="28"/>
  <c r="M64" i="28"/>
  <c r="N64" i="28"/>
  <c r="P64" i="28"/>
  <c r="E64" i="28"/>
  <c r="J85" i="17"/>
  <c r="I85" i="17"/>
  <c r="H85" i="17"/>
  <c r="M85" i="17"/>
  <c r="G85" i="17"/>
  <c r="K85" i="17"/>
  <c r="F85" i="17"/>
  <c r="E85" i="17"/>
  <c r="L85" i="17"/>
  <c r="E85" i="28"/>
  <c r="N85" i="28"/>
  <c r="F85" i="28"/>
  <c r="H85" i="28"/>
  <c r="P85" i="28"/>
  <c r="M85" i="28"/>
  <c r="Q85" i="28"/>
  <c r="L85" i="28"/>
  <c r="T85" i="28"/>
  <c r="I85" i="28"/>
  <c r="S85" i="28"/>
  <c r="G85" i="28"/>
  <c r="O85" i="28"/>
  <c r="J85" i="28"/>
  <c r="R85" i="28"/>
  <c r="K85" i="28"/>
  <c r="K73" i="17"/>
  <c r="L73" i="17"/>
  <c r="N73" i="28"/>
  <c r="F73" i="17"/>
  <c r="E73" i="17"/>
  <c r="M73" i="17"/>
  <c r="F73" i="28"/>
  <c r="G73" i="17"/>
  <c r="I73" i="17"/>
  <c r="H73" i="17"/>
  <c r="J73" i="17"/>
  <c r="E73" i="28"/>
  <c r="P73" i="28"/>
  <c r="Q73" i="28"/>
  <c r="L73" i="28"/>
  <c r="G73" i="28"/>
  <c r="O73" i="28"/>
  <c r="M73" i="28"/>
  <c r="J73" i="28"/>
  <c r="S73" i="28"/>
  <c r="R73" i="28"/>
  <c r="T73" i="28"/>
  <c r="K73" i="28"/>
  <c r="I73" i="28"/>
  <c r="H73" i="28"/>
  <c r="N77" i="28"/>
  <c r="L77" i="17"/>
  <c r="L77" i="28"/>
  <c r="T77" i="28"/>
  <c r="M77" i="28"/>
  <c r="Q77" i="28"/>
  <c r="K77" i="17"/>
  <c r="K77" i="28"/>
  <c r="S77" i="28"/>
  <c r="M77" i="17"/>
  <c r="O77" i="28"/>
  <c r="R77" i="28"/>
  <c r="P77" i="28"/>
  <c r="O79" i="17"/>
  <c r="G79" i="28"/>
  <c r="K79" i="28"/>
  <c r="O79" i="28"/>
  <c r="S79" i="28"/>
  <c r="L79" i="17"/>
  <c r="T79" i="17"/>
  <c r="L79" i="28"/>
  <c r="T79" i="28"/>
  <c r="M79" i="17"/>
  <c r="E79" i="28"/>
  <c r="M79" i="28"/>
  <c r="F79" i="17"/>
  <c r="R79" i="28"/>
  <c r="G79" i="17"/>
  <c r="K79" i="17"/>
  <c r="E79" i="17"/>
  <c r="F79" i="28"/>
  <c r="J79" i="17"/>
  <c r="J79" i="28"/>
  <c r="H79" i="17"/>
  <c r="P79" i="17"/>
  <c r="H79" i="28"/>
  <c r="P79" i="28"/>
  <c r="N79" i="17"/>
  <c r="N79" i="28"/>
  <c r="I79" i="17"/>
  <c r="Q79" i="28"/>
  <c r="S79" i="17"/>
  <c r="Q79" i="17"/>
  <c r="I79" i="28"/>
  <c r="R79" i="17"/>
  <c r="L65" i="17"/>
  <c r="K65" i="17"/>
  <c r="G65" i="17"/>
  <c r="H65" i="17"/>
  <c r="M65" i="17"/>
  <c r="N65" i="28"/>
  <c r="F65" i="28"/>
  <c r="F65" i="17"/>
  <c r="E65" i="17"/>
  <c r="E65" i="28"/>
  <c r="J65" i="17"/>
  <c r="I65" i="17"/>
  <c r="T65" i="28"/>
  <c r="G65" i="28"/>
  <c r="M65" i="28"/>
  <c r="I65" i="28"/>
  <c r="H65" i="28"/>
  <c r="J65" i="28"/>
  <c r="S65" i="28"/>
  <c r="R65" i="28"/>
  <c r="L65" i="28"/>
  <c r="K65" i="28"/>
  <c r="O65" i="28"/>
  <c r="Q65" i="28"/>
  <c r="P65" i="28"/>
  <c r="E84" i="17"/>
  <c r="L84" i="17"/>
  <c r="F84" i="17"/>
  <c r="K84" i="17"/>
  <c r="M84" i="17"/>
  <c r="J84" i="17"/>
  <c r="I84" i="17"/>
  <c r="H84" i="17"/>
  <c r="G84" i="17"/>
  <c r="R84" i="28"/>
  <c r="E84" i="28"/>
  <c r="H84" i="28"/>
  <c r="L84" i="28"/>
  <c r="P84" i="28"/>
  <c r="T84" i="28"/>
  <c r="M84" i="28"/>
  <c r="F84" i="28"/>
  <c r="G84" i="28"/>
  <c r="K84" i="28"/>
  <c r="O84" i="28"/>
  <c r="S84" i="28"/>
  <c r="N84" i="28"/>
  <c r="J84" i="28"/>
  <c r="I84" i="28"/>
  <c r="Q84" i="28"/>
  <c r="F89" i="17"/>
  <c r="R89" i="28"/>
  <c r="G89" i="17"/>
  <c r="K89" i="17"/>
  <c r="E89" i="17"/>
  <c r="F89" i="28"/>
  <c r="J89" i="17"/>
  <c r="J89" i="28"/>
  <c r="H89" i="17"/>
  <c r="P89" i="17"/>
  <c r="H89" i="28"/>
  <c r="P89" i="28"/>
  <c r="N89" i="17"/>
  <c r="N89" i="28"/>
  <c r="I89" i="17"/>
  <c r="Q89" i="17"/>
  <c r="I89" i="28"/>
  <c r="Q89" i="28"/>
  <c r="R89" i="17"/>
  <c r="S89" i="17"/>
  <c r="G89" i="28"/>
  <c r="S89" i="28"/>
  <c r="L89" i="28"/>
  <c r="T89" i="28"/>
  <c r="O89" i="28"/>
  <c r="L89" i="17"/>
  <c r="T89" i="17"/>
  <c r="M89" i="28"/>
  <c r="M89" i="17"/>
  <c r="O89" i="17"/>
  <c r="K89" i="28"/>
  <c r="E89" i="28"/>
  <c r="K87" i="17"/>
  <c r="K87" i="28"/>
  <c r="S87" i="28"/>
  <c r="M87" i="17"/>
  <c r="O87" i="28"/>
  <c r="R87" i="28"/>
  <c r="P87" i="28"/>
  <c r="L87" i="28"/>
  <c r="T87" i="28"/>
  <c r="M87" i="28"/>
  <c r="Q87" i="28"/>
  <c r="N87" i="28"/>
  <c r="L87" i="17"/>
  <c r="K86" i="28"/>
  <c r="O86" i="28"/>
  <c r="S86" i="28"/>
  <c r="H86" i="28"/>
  <c r="P86" i="28"/>
  <c r="R86" i="28"/>
  <c r="E86" i="17"/>
  <c r="F86" i="17"/>
  <c r="L86" i="17"/>
  <c r="I86" i="28"/>
  <c r="Q86" i="28"/>
  <c r="K86" i="17"/>
  <c r="G86" i="28"/>
  <c r="J86" i="28"/>
  <c r="H86" i="17"/>
  <c r="F86" i="28"/>
  <c r="M86" i="17"/>
  <c r="T86" i="28"/>
  <c r="I86" i="17"/>
  <c r="G86" i="17"/>
  <c r="E86" i="28"/>
  <c r="N86" i="28"/>
  <c r="J86" i="17"/>
  <c r="L86" i="28"/>
  <c r="M86" i="28"/>
  <c r="N76" i="28"/>
  <c r="G76" i="17"/>
  <c r="J76" i="17"/>
  <c r="L76" i="28"/>
  <c r="T76" i="28"/>
  <c r="I76" i="17"/>
  <c r="E76" i="28"/>
  <c r="M76" i="28"/>
  <c r="K76" i="28"/>
  <c r="O76" i="28"/>
  <c r="S76" i="28"/>
  <c r="H76" i="28"/>
  <c r="P76" i="28"/>
  <c r="R76" i="28"/>
  <c r="E76" i="17"/>
  <c r="F76" i="17"/>
  <c r="L76" i="17"/>
  <c r="J76" i="28"/>
  <c r="H76" i="17"/>
  <c r="M76" i="17"/>
  <c r="G76" i="28"/>
  <c r="F76" i="28"/>
  <c r="Q76" i="28"/>
  <c r="K76" i="17"/>
  <c r="I76" i="28"/>
  <c r="G75" i="17"/>
  <c r="F75" i="28"/>
  <c r="J75" i="17"/>
  <c r="I75" i="17"/>
  <c r="H75" i="17"/>
  <c r="E75" i="17"/>
  <c r="E75" i="28"/>
  <c r="M75" i="17"/>
  <c r="K75" i="17"/>
  <c r="F75" i="17"/>
  <c r="L75" i="17"/>
  <c r="N75" i="28"/>
  <c r="J75" i="28"/>
  <c r="S75" i="28"/>
  <c r="R75" i="28"/>
  <c r="K75" i="28"/>
  <c r="O75" i="28"/>
  <c r="H75" i="28"/>
  <c r="P75" i="28"/>
  <c r="M75" i="28"/>
  <c r="Q75" i="28"/>
  <c r="L75" i="28"/>
  <c r="T75" i="28"/>
  <c r="I75" i="28"/>
  <c r="G75" i="28"/>
  <c r="R69" i="17"/>
  <c r="S69" i="17"/>
  <c r="J69" i="28"/>
  <c r="H69" i="28"/>
  <c r="P69" i="28"/>
  <c r="I69" i="17"/>
  <c r="E69" i="28"/>
  <c r="M69" i="28"/>
  <c r="G69" i="28"/>
  <c r="K69" i="28"/>
  <c r="O69" i="28"/>
  <c r="S69" i="28"/>
  <c r="H69" i="17"/>
  <c r="P69" i="17"/>
  <c r="M69" i="17"/>
  <c r="F69" i="17"/>
  <c r="G69" i="17"/>
  <c r="K69" i="17"/>
  <c r="O69" i="17"/>
  <c r="L69" i="28"/>
  <c r="T69" i="28"/>
  <c r="I69" i="28"/>
  <c r="R69" i="28"/>
  <c r="N69" i="17"/>
  <c r="F69" i="28"/>
  <c r="L69" i="17"/>
  <c r="Q69" i="17"/>
  <c r="N69" i="28"/>
  <c r="E69" i="17"/>
  <c r="Q69" i="28"/>
  <c r="J69" i="17"/>
  <c r="T69" i="17"/>
  <c r="G74" i="17"/>
  <c r="M74" i="17"/>
  <c r="F74" i="17"/>
  <c r="E74" i="17"/>
  <c r="L74" i="17"/>
  <c r="J74" i="17"/>
  <c r="I74" i="17"/>
  <c r="K74" i="17"/>
  <c r="H74" i="17"/>
  <c r="J74" i="28"/>
  <c r="I74" i="28"/>
  <c r="Q74" i="28"/>
  <c r="R74" i="28"/>
  <c r="E74" i="28"/>
  <c r="H74" i="28"/>
  <c r="L74" i="28"/>
  <c r="P74" i="28"/>
  <c r="T74" i="28"/>
  <c r="M74" i="28"/>
  <c r="G74" i="28"/>
  <c r="O74" i="28"/>
  <c r="N74" i="28"/>
  <c r="F74" i="28"/>
  <c r="K74" i="28"/>
  <c r="S74" i="28"/>
  <c r="O67" i="30"/>
  <c r="N67" i="30"/>
  <c r="Q67" i="30"/>
  <c r="T67" i="30"/>
  <c r="R67" i="30"/>
  <c r="M67" i="30"/>
  <c r="P67" i="30"/>
  <c r="S67" i="30"/>
  <c r="F83" i="30"/>
  <c r="J83" i="30"/>
  <c r="N83" i="30"/>
  <c r="R83" i="30"/>
  <c r="G83" i="30"/>
  <c r="K83" i="30"/>
  <c r="O83" i="30"/>
  <c r="S83" i="30"/>
  <c r="H83" i="30"/>
  <c r="L83" i="30"/>
  <c r="P83" i="30"/>
  <c r="T83" i="30"/>
  <c r="I83" i="30"/>
  <c r="M83" i="30"/>
  <c r="Q83" i="30"/>
  <c r="E83" i="30"/>
  <c r="Q77" i="30"/>
  <c r="S77" i="30"/>
  <c r="R77" i="30"/>
  <c r="P77" i="30"/>
  <c r="M77" i="30"/>
  <c r="N77" i="30"/>
  <c r="T77" i="30"/>
  <c r="O77" i="30"/>
  <c r="R79" i="30"/>
  <c r="M79" i="30"/>
  <c r="T79" i="30"/>
  <c r="L79" i="30"/>
  <c r="S79" i="30"/>
  <c r="K79" i="30"/>
  <c r="N79" i="30"/>
  <c r="F79" i="30"/>
  <c r="E79" i="30"/>
  <c r="Q79" i="30"/>
  <c r="I79" i="30"/>
  <c r="P79" i="30"/>
  <c r="H79" i="30"/>
  <c r="O79" i="30"/>
  <c r="G79" i="30"/>
  <c r="J79" i="30"/>
  <c r="Q66" i="30"/>
  <c r="M66" i="30"/>
  <c r="T66" i="30"/>
  <c r="P66" i="30"/>
  <c r="L66" i="30"/>
  <c r="H66" i="30"/>
  <c r="G66" i="30"/>
  <c r="I66" i="30"/>
  <c r="S66" i="30"/>
  <c r="O66" i="30"/>
  <c r="K66" i="30"/>
  <c r="E66" i="30"/>
  <c r="R66" i="30"/>
  <c r="N66" i="30"/>
  <c r="J66" i="30"/>
  <c r="F66" i="30"/>
  <c r="H85" i="30"/>
  <c r="L85" i="30"/>
  <c r="P85" i="30"/>
  <c r="T85" i="30"/>
  <c r="I85" i="30"/>
  <c r="M85" i="30"/>
  <c r="Q85" i="30"/>
  <c r="E85" i="30"/>
  <c r="F85" i="30"/>
  <c r="J85" i="30"/>
  <c r="N85" i="30"/>
  <c r="R85" i="30"/>
  <c r="G85" i="30"/>
  <c r="K85" i="30"/>
  <c r="O85" i="30"/>
  <c r="S85" i="30"/>
  <c r="H65" i="30"/>
  <c r="L65" i="30"/>
  <c r="P65" i="30"/>
  <c r="I65" i="30"/>
  <c r="M65" i="30"/>
  <c r="Q65" i="30"/>
  <c r="F65" i="30"/>
  <c r="J65" i="30"/>
  <c r="N65" i="30"/>
  <c r="R65" i="30"/>
  <c r="G65" i="30"/>
  <c r="K65" i="30"/>
  <c r="O65" i="30"/>
  <c r="S65" i="30"/>
  <c r="T65" i="30"/>
  <c r="E65" i="30"/>
  <c r="G84" i="30"/>
  <c r="K84" i="30"/>
  <c r="O84" i="30"/>
  <c r="S84" i="30"/>
  <c r="H84" i="30"/>
  <c r="L84" i="30"/>
  <c r="P84" i="30"/>
  <c r="T84" i="30"/>
  <c r="I84" i="30"/>
  <c r="M84" i="30"/>
  <c r="Q84" i="30"/>
  <c r="E84" i="30"/>
  <c r="F84" i="30"/>
  <c r="J84" i="30"/>
  <c r="N84" i="30"/>
  <c r="R84" i="30"/>
  <c r="T89" i="30"/>
  <c r="L89" i="30"/>
  <c r="S89" i="30"/>
  <c r="K89" i="30"/>
  <c r="N89" i="30"/>
  <c r="F89" i="30"/>
  <c r="E89" i="30"/>
  <c r="Q89" i="30"/>
  <c r="I89" i="30"/>
  <c r="P89" i="30"/>
  <c r="H89" i="30"/>
  <c r="O89" i="30"/>
  <c r="G89" i="30"/>
  <c r="J89" i="30"/>
  <c r="R89" i="30"/>
  <c r="M89" i="30"/>
  <c r="F63" i="30"/>
  <c r="J63" i="30"/>
  <c r="N63" i="30"/>
  <c r="R63" i="30"/>
  <c r="G63" i="30"/>
  <c r="K63" i="30"/>
  <c r="O63" i="30"/>
  <c r="S63" i="30"/>
  <c r="H63" i="30"/>
  <c r="L63" i="30"/>
  <c r="P63" i="30"/>
  <c r="T63" i="30"/>
  <c r="I63" i="30"/>
  <c r="M63" i="30"/>
  <c r="Q63" i="30"/>
  <c r="E63" i="30"/>
  <c r="G64" i="30"/>
  <c r="K64" i="30"/>
  <c r="O64" i="30"/>
  <c r="S64" i="30"/>
  <c r="H64" i="30"/>
  <c r="L64" i="30"/>
  <c r="P64" i="30"/>
  <c r="T64" i="30"/>
  <c r="I64" i="30"/>
  <c r="M64" i="30"/>
  <c r="Q64" i="30"/>
  <c r="F64" i="30"/>
  <c r="J64" i="30"/>
  <c r="N64" i="30"/>
  <c r="R64" i="30"/>
  <c r="E64" i="30"/>
  <c r="F73" i="30"/>
  <c r="J73" i="30"/>
  <c r="N73" i="30"/>
  <c r="R73" i="30"/>
  <c r="G73" i="30"/>
  <c r="K73" i="30"/>
  <c r="O73" i="30"/>
  <c r="S73" i="30"/>
  <c r="H73" i="30"/>
  <c r="L73" i="30"/>
  <c r="P73" i="30"/>
  <c r="T73" i="30"/>
  <c r="I73" i="30"/>
  <c r="M73" i="30"/>
  <c r="Q73" i="30"/>
  <c r="E73" i="30"/>
  <c r="R87" i="30"/>
  <c r="P87" i="30"/>
  <c r="M87" i="30"/>
  <c r="N87" i="30"/>
  <c r="T87" i="30"/>
  <c r="Q87" i="30"/>
  <c r="S87" i="30"/>
  <c r="O87" i="30"/>
  <c r="Q86" i="30"/>
  <c r="M86" i="30"/>
  <c r="I86" i="30"/>
  <c r="R86" i="30"/>
  <c r="T86" i="30"/>
  <c r="P86" i="30"/>
  <c r="L86" i="30"/>
  <c r="H86" i="30"/>
  <c r="E86" i="30"/>
  <c r="S86" i="30"/>
  <c r="O86" i="30"/>
  <c r="K86" i="30"/>
  <c r="G86" i="30"/>
  <c r="N86" i="30"/>
  <c r="J86" i="30"/>
  <c r="F86" i="30"/>
  <c r="S76" i="30"/>
  <c r="O76" i="30"/>
  <c r="K76" i="30"/>
  <c r="G76" i="30"/>
  <c r="Q76" i="30"/>
  <c r="M76" i="30"/>
  <c r="I76" i="30"/>
  <c r="T76" i="30"/>
  <c r="P76" i="30"/>
  <c r="L76" i="30"/>
  <c r="H76" i="30"/>
  <c r="E76" i="30"/>
  <c r="R76" i="30"/>
  <c r="N76" i="30"/>
  <c r="J76" i="30"/>
  <c r="F76" i="30"/>
  <c r="H75" i="30"/>
  <c r="L75" i="30"/>
  <c r="P75" i="30"/>
  <c r="T75" i="30"/>
  <c r="I75" i="30"/>
  <c r="M75" i="30"/>
  <c r="Q75" i="30"/>
  <c r="E75" i="30"/>
  <c r="F75" i="30"/>
  <c r="J75" i="30"/>
  <c r="N75" i="30"/>
  <c r="R75" i="30"/>
  <c r="G75" i="30"/>
  <c r="K75" i="30"/>
  <c r="O75" i="30"/>
  <c r="S75" i="30"/>
  <c r="O69" i="30"/>
  <c r="G69" i="30"/>
  <c r="J69" i="30"/>
  <c r="Q69" i="30"/>
  <c r="I69" i="30"/>
  <c r="P69" i="30"/>
  <c r="H69" i="30"/>
  <c r="R69" i="30"/>
  <c r="S69" i="30"/>
  <c r="K69" i="30"/>
  <c r="N69" i="30"/>
  <c r="F69" i="30"/>
  <c r="M69" i="30"/>
  <c r="T69" i="30"/>
  <c r="L69" i="30"/>
  <c r="E69" i="30"/>
  <c r="G74" i="30"/>
  <c r="K74" i="30"/>
  <c r="O74" i="30"/>
  <c r="S74" i="30"/>
  <c r="H74" i="30"/>
  <c r="L74" i="30"/>
  <c r="P74" i="30"/>
  <c r="T74" i="30"/>
  <c r="I74" i="30"/>
  <c r="M74" i="30"/>
  <c r="Q74" i="30"/>
  <c r="E74" i="30"/>
  <c r="F74" i="30"/>
  <c r="J74" i="30"/>
  <c r="N74" i="30"/>
  <c r="R74" i="30"/>
  <c r="F193" i="1"/>
  <c r="H62" i="29" l="1"/>
  <c r="H61" i="29" s="1"/>
  <c r="M72" i="29"/>
  <c r="M71" i="29" s="1"/>
  <c r="R82" i="29"/>
  <c r="R81" i="29" s="1"/>
  <c r="S62" i="29"/>
  <c r="S61" i="29" s="1"/>
  <c r="S72" i="29"/>
  <c r="S71" i="29" s="1"/>
  <c r="O82" i="29"/>
  <c r="O81" i="29" s="1"/>
  <c r="I62" i="29"/>
  <c r="I61" i="29" s="1"/>
  <c r="L62" i="29"/>
  <c r="L61" i="29" s="1"/>
  <c r="H72" i="29"/>
  <c r="H71" i="29" s="1"/>
  <c r="T72" i="29"/>
  <c r="T71" i="29" s="1"/>
  <c r="F72" i="29"/>
  <c r="F71" i="29" s="1"/>
  <c r="R72" i="29"/>
  <c r="R71" i="29" s="1"/>
  <c r="O72" i="29"/>
  <c r="O71" i="29" s="1"/>
  <c r="N82" i="29"/>
  <c r="N81" i="29" s="1"/>
  <c r="Q82" i="29"/>
  <c r="Q81" i="29" s="1"/>
  <c r="T82" i="29"/>
  <c r="T81" i="29" s="1"/>
  <c r="M82" i="29"/>
  <c r="M81" i="29" s="1"/>
  <c r="K82" i="29"/>
  <c r="K81" i="29" s="1"/>
  <c r="J62" i="29"/>
  <c r="J61" i="29" s="1"/>
  <c r="R62" i="29"/>
  <c r="R61" i="29" s="1"/>
  <c r="O62" i="29"/>
  <c r="O61" i="29" s="1"/>
  <c r="T62" i="29"/>
  <c r="T61" i="29" s="1"/>
  <c r="P72" i="29"/>
  <c r="P71" i="29" s="1"/>
  <c r="I72" i="29"/>
  <c r="I71" i="29" s="1"/>
  <c r="Q72" i="29"/>
  <c r="Q71" i="29" s="1"/>
  <c r="J72" i="29"/>
  <c r="J71" i="29" s="1"/>
  <c r="K72" i="29"/>
  <c r="K71" i="29" s="1"/>
  <c r="J82" i="29"/>
  <c r="J81" i="29" s="1"/>
  <c r="P82" i="29"/>
  <c r="P81" i="29" s="1"/>
  <c r="H82" i="29"/>
  <c r="H81" i="29" s="1"/>
  <c r="G82" i="29"/>
  <c r="G81" i="29" s="1"/>
  <c r="K62" i="29"/>
  <c r="K61" i="29" s="1"/>
  <c r="M62" i="29"/>
  <c r="M61" i="29" s="1"/>
  <c r="P62" i="29"/>
  <c r="P61" i="29" s="1"/>
  <c r="L72" i="29"/>
  <c r="L71" i="29" s="1"/>
  <c r="N72" i="29"/>
  <c r="N71" i="29" s="1"/>
  <c r="G72" i="29"/>
  <c r="G71" i="29" s="1"/>
  <c r="F82" i="29"/>
  <c r="F81" i="29" s="1"/>
  <c r="L82" i="29"/>
  <c r="L81" i="29" s="1"/>
  <c r="I82" i="29"/>
  <c r="I81" i="29" s="1"/>
  <c r="S82" i="29"/>
  <c r="S81" i="29" s="1"/>
  <c r="F62" i="29"/>
  <c r="F61" i="29" s="1"/>
  <c r="N62" i="29"/>
  <c r="N61" i="29" s="1"/>
  <c r="G62" i="29"/>
  <c r="G61" i="29" s="1"/>
  <c r="Q62" i="29"/>
  <c r="Q61" i="29" s="1"/>
  <c r="L72" i="30"/>
  <c r="L71" i="30" s="1"/>
  <c r="M134" i="30" s="1"/>
  <c r="N72" i="30"/>
  <c r="N71" i="30" s="1"/>
  <c r="O134" i="30" s="1"/>
  <c r="H72" i="30"/>
  <c r="H71" i="30" s="1"/>
  <c r="I134" i="30" s="1"/>
  <c r="R72" i="30"/>
  <c r="R71" i="30" s="1"/>
  <c r="S134" i="30" s="1"/>
  <c r="S72" i="30"/>
  <c r="S71" i="30" s="1"/>
  <c r="T134" i="30" s="1"/>
  <c r="G72" i="30"/>
  <c r="G71" i="30" s="1"/>
  <c r="H134" i="30" s="1"/>
  <c r="I72" i="30"/>
  <c r="I71" i="30" s="1"/>
  <c r="J134" i="30" s="1"/>
  <c r="P72" i="30"/>
  <c r="P71" i="30" s="1"/>
  <c r="Q134" i="30" s="1"/>
  <c r="K72" i="30"/>
  <c r="K71" i="30" s="1"/>
  <c r="L134" i="30" s="1"/>
  <c r="Q72" i="30"/>
  <c r="Q71" i="30" s="1"/>
  <c r="R134" i="30" s="1"/>
  <c r="M72" i="30"/>
  <c r="M71" i="30" s="1"/>
  <c r="N134" i="30" s="1"/>
  <c r="F72" i="30"/>
  <c r="F71" i="30" s="1"/>
  <c r="G134" i="30" s="1"/>
  <c r="T72" i="30"/>
  <c r="T71" i="30" s="1"/>
  <c r="U134" i="30" s="1"/>
  <c r="J72" i="30"/>
  <c r="J71" i="30" s="1"/>
  <c r="K134" i="30" s="1"/>
  <c r="O72" i="30"/>
  <c r="O71" i="30" s="1"/>
  <c r="P134" i="30" s="1"/>
  <c r="M82" i="30"/>
  <c r="M81" i="30" s="1"/>
  <c r="N131" i="30" s="1"/>
  <c r="K82" i="30"/>
  <c r="K81" i="30" s="1"/>
  <c r="L131" i="30" s="1"/>
  <c r="S82" i="30"/>
  <c r="S81" i="30" s="1"/>
  <c r="T131" i="30" s="1"/>
  <c r="N82" i="30"/>
  <c r="N81" i="30" s="1"/>
  <c r="O131" i="30" s="1"/>
  <c r="O82" i="30"/>
  <c r="O81" i="30" s="1"/>
  <c r="P131" i="30" s="1"/>
  <c r="G82" i="30"/>
  <c r="G81" i="30" s="1"/>
  <c r="H131" i="30" s="1"/>
  <c r="P82" i="30"/>
  <c r="P81" i="30" s="1"/>
  <c r="Q131" i="30" s="1"/>
  <c r="J82" i="30"/>
  <c r="J81" i="30" s="1"/>
  <c r="K131" i="30" s="1"/>
  <c r="T82" i="30"/>
  <c r="T81" i="30" s="1"/>
  <c r="U131" i="30" s="1"/>
  <c r="R82" i="30"/>
  <c r="R81" i="30" s="1"/>
  <c r="S131" i="30" s="1"/>
  <c r="F82" i="30"/>
  <c r="F81" i="30" s="1"/>
  <c r="G131" i="30" s="1"/>
  <c r="Q82" i="30"/>
  <c r="Q81" i="30" s="1"/>
  <c r="R131" i="30" s="1"/>
  <c r="H82" i="30"/>
  <c r="H81" i="30" s="1"/>
  <c r="I131" i="30" s="1"/>
  <c r="I82" i="30"/>
  <c r="I81" i="30" s="1"/>
  <c r="J131" i="30" s="1"/>
  <c r="E72" i="30"/>
  <c r="E71" i="30" s="1"/>
  <c r="F134" i="30" s="1"/>
  <c r="E82" i="30"/>
  <c r="E81" i="30" s="1"/>
  <c r="F131" i="30" s="1"/>
  <c r="L82" i="30"/>
  <c r="L81" i="30" s="1"/>
  <c r="M131" i="30" s="1"/>
  <c r="I62" i="30"/>
  <c r="L62" i="30"/>
  <c r="E62" i="30"/>
  <c r="S62" i="30"/>
  <c r="T62" i="30"/>
  <c r="R62" i="30"/>
  <c r="H62" i="30"/>
  <c r="G62" i="30"/>
  <c r="K62" i="30"/>
  <c r="O62" i="30"/>
  <c r="N62" i="30"/>
  <c r="F62" i="30"/>
  <c r="P62" i="30"/>
  <c r="Q62" i="30"/>
  <c r="J62" i="30"/>
  <c r="M62" i="30"/>
  <c r="E62" i="28"/>
  <c r="E61" i="28" s="1"/>
  <c r="E72" i="28"/>
  <c r="P62" i="28"/>
  <c r="T72" i="28"/>
  <c r="T71" i="28" s="1"/>
  <c r="P82" i="28"/>
  <c r="P81" i="28" s="1"/>
  <c r="T82" i="28"/>
  <c r="T81" i="28" s="1"/>
  <c r="L62" i="28"/>
  <c r="J62" i="28"/>
  <c r="M62" i="28"/>
  <c r="F62" i="28"/>
  <c r="G62" i="17"/>
  <c r="O62" i="28"/>
  <c r="H72" i="28"/>
  <c r="H71" i="28" s="1"/>
  <c r="L72" i="28"/>
  <c r="L71" i="28" s="1"/>
  <c r="P72" i="28"/>
  <c r="P71" i="28" s="1"/>
  <c r="G72" i="28"/>
  <c r="G71" i="28" s="1"/>
  <c r="L82" i="28"/>
  <c r="L81" i="28" s="1"/>
  <c r="F82" i="28"/>
  <c r="F81" i="28" s="1"/>
  <c r="R82" i="28"/>
  <c r="R81" i="28" s="1"/>
  <c r="O82" i="28"/>
  <c r="O81" i="28" s="1"/>
  <c r="T62" i="28"/>
  <c r="R62" i="28"/>
  <c r="I62" i="28"/>
  <c r="R72" i="28"/>
  <c r="R71" i="28" s="1"/>
  <c r="I72" i="28"/>
  <c r="I71" i="28" s="1"/>
  <c r="M72" i="28"/>
  <c r="M71" i="28" s="1"/>
  <c r="N72" i="28"/>
  <c r="N71" i="28" s="1"/>
  <c r="M82" i="28"/>
  <c r="M81" i="28" s="1"/>
  <c r="H82" i="28"/>
  <c r="H81" i="28" s="1"/>
  <c r="G82" i="28"/>
  <c r="G81" i="28" s="1"/>
  <c r="K82" i="28"/>
  <c r="K81" i="28" s="1"/>
  <c r="G62" i="28"/>
  <c r="K72" i="28"/>
  <c r="K71" i="28" s="1"/>
  <c r="J72" i="28"/>
  <c r="J71" i="28" s="1"/>
  <c r="O72" i="28"/>
  <c r="O71" i="28" s="1"/>
  <c r="N82" i="28"/>
  <c r="N81" i="28" s="1"/>
  <c r="E82" i="28"/>
  <c r="E81" i="28" s="1"/>
  <c r="H62" i="28"/>
  <c r="N62" i="28"/>
  <c r="Q62" i="28"/>
  <c r="K62" i="28"/>
  <c r="S62" i="28"/>
  <c r="Q72" i="28"/>
  <c r="Q71" i="28" s="1"/>
  <c r="S72" i="28"/>
  <c r="S71" i="28" s="1"/>
  <c r="F72" i="28"/>
  <c r="F71" i="28" s="1"/>
  <c r="J82" i="28"/>
  <c r="J81" i="28" s="1"/>
  <c r="Q82" i="28"/>
  <c r="Q81" i="28" s="1"/>
  <c r="S82" i="28"/>
  <c r="S81" i="28" s="1"/>
  <c r="I82" i="28"/>
  <c r="I81" i="28" s="1"/>
  <c r="I72" i="17"/>
  <c r="F72" i="17"/>
  <c r="L62" i="17"/>
  <c r="J82" i="17"/>
  <c r="L72" i="17"/>
  <c r="K72" i="17"/>
  <c r="H62" i="17"/>
  <c r="J62" i="17"/>
  <c r="M82" i="17"/>
  <c r="L82" i="17"/>
  <c r="M72" i="17"/>
  <c r="H72" i="17"/>
  <c r="K62" i="17"/>
  <c r="I62" i="17"/>
  <c r="F62" i="17"/>
  <c r="M62" i="17"/>
  <c r="I82" i="17"/>
  <c r="F82" i="17"/>
  <c r="H82" i="17"/>
  <c r="J72" i="17"/>
  <c r="G72" i="17"/>
  <c r="G82" i="17"/>
  <c r="K82" i="17"/>
  <c r="F190" i="1"/>
  <c r="P61" i="30" l="1"/>
  <c r="Q128" i="30" s="1"/>
  <c r="F61" i="30"/>
  <c r="G128" i="30" s="1"/>
  <c r="R61" i="30"/>
  <c r="S128" i="30" s="1"/>
  <c r="L61" i="30"/>
  <c r="M128" i="30" s="1"/>
  <c r="M61" i="30"/>
  <c r="N128" i="30" s="1"/>
  <c r="N61" i="30"/>
  <c r="O128" i="30" s="1"/>
  <c r="T61" i="30"/>
  <c r="U128" i="30" s="1"/>
  <c r="I61" i="30"/>
  <c r="J128" i="30" s="1"/>
  <c r="C134" i="30"/>
  <c r="C133" i="30"/>
  <c r="J61" i="30"/>
  <c r="K128" i="30" s="1"/>
  <c r="O61" i="30"/>
  <c r="P128" i="30" s="1"/>
  <c r="G61" i="30"/>
  <c r="H128" i="30" s="1"/>
  <c r="S61" i="30"/>
  <c r="T128" i="30" s="1"/>
  <c r="Q61" i="30"/>
  <c r="R128" i="30" s="1"/>
  <c r="K61" i="30"/>
  <c r="L128" i="30" s="1"/>
  <c r="H61" i="30"/>
  <c r="I128" i="30" s="1"/>
  <c r="E61" i="30"/>
  <c r="F128" i="30" s="1"/>
  <c r="C130" i="30"/>
  <c r="C131" i="30"/>
  <c r="E71" i="28"/>
  <c r="F222" i="28" s="1"/>
  <c r="Q61" i="28"/>
  <c r="R216" i="28" s="1"/>
  <c r="G61" i="28"/>
  <c r="H216" i="28" s="1"/>
  <c r="O61" i="28"/>
  <c r="P216" i="28" s="1"/>
  <c r="J61" i="28"/>
  <c r="K216" i="28" s="1"/>
  <c r="N61" i="28"/>
  <c r="O216" i="28" s="1"/>
  <c r="L61" i="28"/>
  <c r="M216" i="28" s="1"/>
  <c r="S61" i="28"/>
  <c r="T216" i="28" s="1"/>
  <c r="H61" i="28"/>
  <c r="I216" i="28" s="1"/>
  <c r="R61" i="28"/>
  <c r="F61" i="28"/>
  <c r="G216" i="28" s="1"/>
  <c r="P61" i="28"/>
  <c r="Q216" i="28" s="1"/>
  <c r="K61" i="28"/>
  <c r="L216" i="28" s="1"/>
  <c r="T61" i="28"/>
  <c r="U216" i="28" s="1"/>
  <c r="M61" i="28"/>
  <c r="N216" i="28" s="1"/>
  <c r="I61" i="28"/>
  <c r="J216" i="28" s="1"/>
  <c r="T222" i="28"/>
  <c r="L222" i="28"/>
  <c r="H219" i="28"/>
  <c r="J222" i="28"/>
  <c r="S222" i="28"/>
  <c r="K219" i="28"/>
  <c r="P222" i="28"/>
  <c r="L219" i="28"/>
  <c r="N219" i="28"/>
  <c r="O222" i="28"/>
  <c r="S219" i="28"/>
  <c r="H222" i="28"/>
  <c r="U219" i="28"/>
  <c r="U222" i="28"/>
  <c r="T219" i="28"/>
  <c r="O219" i="28"/>
  <c r="M219" i="28"/>
  <c r="M222" i="28"/>
  <c r="F216" i="28"/>
  <c r="R219" i="28"/>
  <c r="R222" i="28"/>
  <c r="I219" i="28"/>
  <c r="P219" i="28"/>
  <c r="I222" i="28"/>
  <c r="J219" i="28"/>
  <c r="G222" i="28"/>
  <c r="F219" i="28"/>
  <c r="K222" i="28"/>
  <c r="N222" i="28"/>
  <c r="S216" i="28"/>
  <c r="G219" i="28"/>
  <c r="Q222" i="28"/>
  <c r="Q219" i="28"/>
  <c r="C128" i="30" l="1"/>
  <c r="C127" i="30"/>
  <c r="C215" i="28"/>
  <c r="C216" i="28"/>
  <c r="C222" i="28"/>
  <c r="C221" i="28"/>
  <c r="C218" i="28"/>
  <c r="C219" i="28"/>
  <c r="H123" i="14" l="1"/>
  <c r="J123" i="14"/>
  <c r="J124" i="14"/>
  <c r="H124" i="14"/>
  <c r="H125" i="14"/>
  <c r="J125" i="14"/>
  <c r="D238" i="1"/>
  <c r="E192" i="1" l="1"/>
  <c r="E50" i="28" l="1"/>
  <c r="F114" i="1"/>
  <c r="F44" i="30" s="1"/>
  <c r="F56" i="30" l="1"/>
  <c r="F57" i="30"/>
  <c r="F52" i="30"/>
  <c r="F55" i="30"/>
  <c r="F58" i="30"/>
  <c r="F54" i="30"/>
  <c r="F53" i="30"/>
  <c r="E43" i="28"/>
  <c r="E176" i="28" s="1"/>
  <c r="F44" i="28"/>
  <c r="F44" i="29"/>
  <c r="G114" i="1"/>
  <c r="G44" i="30" s="1"/>
  <c r="F56" i="28" l="1"/>
  <c r="F57" i="28"/>
  <c r="G56" i="30"/>
  <c r="G57" i="30"/>
  <c r="F58" i="29"/>
  <c r="F54" i="29"/>
  <c r="F55" i="29"/>
  <c r="F52" i="29"/>
  <c r="F53" i="29"/>
  <c r="F54" i="28"/>
  <c r="F58" i="28"/>
  <c r="F52" i="28"/>
  <c r="F53" i="28"/>
  <c r="F55" i="28"/>
  <c r="G55" i="30"/>
  <c r="G54" i="30"/>
  <c r="G53" i="30"/>
  <c r="G58" i="30"/>
  <c r="G52" i="30"/>
  <c r="F51" i="30"/>
  <c r="F50" i="30" s="1"/>
  <c r="F43" i="30" s="1"/>
  <c r="F213" i="28"/>
  <c r="G44" i="28"/>
  <c r="G44" i="29"/>
  <c r="H114" i="1"/>
  <c r="H44" i="30" s="1"/>
  <c r="G56" i="28" l="1"/>
  <c r="G57" i="28"/>
  <c r="H56" i="30"/>
  <c r="H57" i="30"/>
  <c r="G58" i="29"/>
  <c r="G53" i="29"/>
  <c r="G52" i="29"/>
  <c r="G55" i="29"/>
  <c r="G54" i="29"/>
  <c r="G54" i="28"/>
  <c r="G55" i="28"/>
  <c r="G53" i="28"/>
  <c r="G52" i="28"/>
  <c r="G58" i="28"/>
  <c r="H55" i="30"/>
  <c r="H54" i="30"/>
  <c r="H53" i="30"/>
  <c r="H58" i="30"/>
  <c r="H52" i="30"/>
  <c r="G125" i="30"/>
  <c r="G51" i="30"/>
  <c r="G50" i="30" s="1"/>
  <c r="F51" i="28"/>
  <c r="H44" i="28"/>
  <c r="H44" i="29"/>
  <c r="I114" i="1"/>
  <c r="I44" i="30" s="1"/>
  <c r="H56" i="28" l="1"/>
  <c r="H57" i="28"/>
  <c r="I56" i="30"/>
  <c r="I57" i="30"/>
  <c r="H58" i="29"/>
  <c r="H55" i="29"/>
  <c r="H52" i="29"/>
  <c r="H54" i="29"/>
  <c r="H53" i="29"/>
  <c r="H54" i="28"/>
  <c r="H52" i="28"/>
  <c r="H53" i="28"/>
  <c r="H58" i="28"/>
  <c r="H55" i="28"/>
  <c r="I58" i="30"/>
  <c r="I52" i="30"/>
  <c r="I55" i="30"/>
  <c r="I54" i="30"/>
  <c r="I53" i="30"/>
  <c r="G43" i="30"/>
  <c r="H125" i="30"/>
  <c r="H51" i="30"/>
  <c r="H50" i="30" s="1"/>
  <c r="G51" i="28"/>
  <c r="I44" i="28"/>
  <c r="I44" i="29"/>
  <c r="J114" i="1"/>
  <c r="J44" i="30" s="1"/>
  <c r="I57" i="28" l="1"/>
  <c r="I56" i="28"/>
  <c r="J56" i="30"/>
  <c r="J57" i="30"/>
  <c r="I58" i="29"/>
  <c r="I55" i="29"/>
  <c r="I52" i="29"/>
  <c r="I53" i="29"/>
  <c r="I54" i="29"/>
  <c r="I55" i="28"/>
  <c r="I54" i="28"/>
  <c r="I53" i="28"/>
  <c r="I52" i="28"/>
  <c r="I58" i="28"/>
  <c r="J52" i="30"/>
  <c r="J55" i="30"/>
  <c r="J54" i="30"/>
  <c r="J58" i="30"/>
  <c r="J53" i="30"/>
  <c r="I51" i="30"/>
  <c r="I50" i="30" s="1"/>
  <c r="I125" i="30"/>
  <c r="H43" i="30"/>
  <c r="H51" i="28"/>
  <c r="J44" i="28"/>
  <c r="J44" i="29"/>
  <c r="K114" i="1"/>
  <c r="K44" i="30" s="1"/>
  <c r="K56" i="30" l="1"/>
  <c r="K57" i="30"/>
  <c r="J56" i="28"/>
  <c r="J57" i="28"/>
  <c r="J53" i="29"/>
  <c r="J58" i="29"/>
  <c r="J54" i="29"/>
  <c r="J55" i="29"/>
  <c r="J52" i="29"/>
  <c r="J52" i="28"/>
  <c r="J55" i="28"/>
  <c r="J58" i="28"/>
  <c r="J53" i="28"/>
  <c r="J54" i="28"/>
  <c r="K53" i="30"/>
  <c r="K52" i="30"/>
  <c r="K58" i="30"/>
  <c r="K55" i="30"/>
  <c r="K54" i="30"/>
  <c r="J51" i="30"/>
  <c r="J50" i="30" s="1"/>
  <c r="J125" i="30"/>
  <c r="I43" i="30"/>
  <c r="I51" i="28"/>
  <c r="K44" i="28"/>
  <c r="K57" i="28" s="1"/>
  <c r="K44" i="29"/>
  <c r="K57" i="29" s="1"/>
  <c r="L114" i="1"/>
  <c r="L44" i="30" s="1"/>
  <c r="L56" i="30" l="1"/>
  <c r="L57" i="30"/>
  <c r="K54" i="29"/>
  <c r="K52" i="29"/>
  <c r="K58" i="29"/>
  <c r="K55" i="29"/>
  <c r="K56" i="29"/>
  <c r="K53" i="29"/>
  <c r="K56" i="28"/>
  <c r="K55" i="28"/>
  <c r="K54" i="28"/>
  <c r="K52" i="28"/>
  <c r="K58" i="28"/>
  <c r="K53" i="28"/>
  <c r="L58" i="30"/>
  <c r="L55" i="30"/>
  <c r="L54" i="30"/>
  <c r="L53" i="30"/>
  <c r="L52" i="30"/>
  <c r="K51" i="30"/>
  <c r="K50" i="30" s="1"/>
  <c r="K125" i="30"/>
  <c r="J43" i="30"/>
  <c r="J51" i="28"/>
  <c r="L44" i="28"/>
  <c r="L57" i="28" s="1"/>
  <c r="L44" i="29"/>
  <c r="L57" i="29" s="1"/>
  <c r="M114" i="1"/>
  <c r="M44" i="30" s="1"/>
  <c r="M57" i="30" s="1"/>
  <c r="L55" i="29" l="1"/>
  <c r="L56" i="29"/>
  <c r="L52" i="29"/>
  <c r="L53" i="29"/>
  <c r="L58" i="29"/>
  <c r="L54" i="29"/>
  <c r="L54" i="28"/>
  <c r="L53" i="28"/>
  <c r="L58" i="28"/>
  <c r="L52" i="28"/>
  <c r="L55" i="28"/>
  <c r="L56" i="28"/>
  <c r="M58" i="30"/>
  <c r="M56" i="30"/>
  <c r="M52" i="30"/>
  <c r="M55" i="30"/>
  <c r="M54" i="30"/>
  <c r="M53" i="30"/>
  <c r="L51" i="30"/>
  <c r="L50" i="30" s="1"/>
  <c r="M125" i="30" s="1"/>
  <c r="K43" i="30"/>
  <c r="L125" i="30"/>
  <c r="K51" i="28"/>
  <c r="M44" i="28"/>
  <c r="M57" i="28" s="1"/>
  <c r="M44" i="29"/>
  <c r="M57" i="29" s="1"/>
  <c r="N114" i="1"/>
  <c r="N44" i="30" s="1"/>
  <c r="N57" i="30" s="1"/>
  <c r="M58" i="29" l="1"/>
  <c r="M56" i="29"/>
  <c r="M52" i="29"/>
  <c r="M53" i="29"/>
  <c r="M54" i="29"/>
  <c r="M55" i="29"/>
  <c r="M52" i="28"/>
  <c r="M58" i="28"/>
  <c r="M54" i="28"/>
  <c r="M55" i="28"/>
  <c r="M53" i="28"/>
  <c r="M56" i="28"/>
  <c r="N58" i="30"/>
  <c r="N52" i="30"/>
  <c r="N55" i="30"/>
  <c r="N54" i="30"/>
  <c r="N56" i="30"/>
  <c r="N53" i="30"/>
  <c r="L43" i="30"/>
  <c r="M51" i="30"/>
  <c r="M50" i="30" s="1"/>
  <c r="N125" i="30" s="1"/>
  <c r="L51" i="28"/>
  <c r="N44" i="28"/>
  <c r="N57" i="28" s="1"/>
  <c r="N44" i="29"/>
  <c r="N57" i="29" s="1"/>
  <c r="O114" i="1"/>
  <c r="O44" i="30" s="1"/>
  <c r="O57" i="30" s="1"/>
  <c r="N52" i="29" l="1"/>
  <c r="N55" i="29"/>
  <c r="N56" i="29"/>
  <c r="N53" i="29"/>
  <c r="N58" i="29"/>
  <c r="N54" i="29"/>
  <c r="N53" i="28"/>
  <c r="N54" i="28"/>
  <c r="N55" i="28"/>
  <c r="N52" i="28"/>
  <c r="N58" i="28"/>
  <c r="N56" i="28"/>
  <c r="O54" i="30"/>
  <c r="O55" i="30"/>
  <c r="O53" i="30"/>
  <c r="O56" i="30"/>
  <c r="O52" i="30"/>
  <c r="O58" i="30"/>
  <c r="M43" i="30"/>
  <c r="N51" i="30"/>
  <c r="N50" i="30" s="1"/>
  <c r="M51" i="28"/>
  <c r="O44" i="28"/>
  <c r="O57" i="28" s="1"/>
  <c r="O44" i="29"/>
  <c r="O57" i="29" s="1"/>
  <c r="P114" i="1"/>
  <c r="P44" i="30" s="1"/>
  <c r="P57" i="30" s="1"/>
  <c r="O55" i="29" l="1"/>
  <c r="O58" i="29"/>
  <c r="O53" i="29"/>
  <c r="O54" i="29"/>
  <c r="O56" i="29"/>
  <c r="O52" i="29"/>
  <c r="O56" i="28"/>
  <c r="O54" i="28"/>
  <c r="O58" i="28"/>
  <c r="O53" i="28"/>
  <c r="O52" i="28"/>
  <c r="O55" i="28"/>
  <c r="P54" i="30"/>
  <c r="P55" i="30"/>
  <c r="P53" i="30"/>
  <c r="P58" i="30"/>
  <c r="P52" i="30"/>
  <c r="P56" i="30"/>
  <c r="O51" i="30"/>
  <c r="O50" i="30" s="1"/>
  <c r="N43" i="30"/>
  <c r="O125" i="30"/>
  <c r="N51" i="28"/>
  <c r="P44" i="28"/>
  <c r="P57" i="28" s="1"/>
  <c r="P44" i="29"/>
  <c r="P57" i="29" s="1"/>
  <c r="Q114" i="1"/>
  <c r="Q44" i="30" s="1"/>
  <c r="Q57" i="30" s="1"/>
  <c r="P58" i="29" l="1"/>
  <c r="P54" i="29"/>
  <c r="P55" i="29"/>
  <c r="P52" i="29"/>
  <c r="P56" i="29"/>
  <c r="P53" i="29"/>
  <c r="P53" i="28"/>
  <c r="P58" i="28"/>
  <c r="P56" i="28"/>
  <c r="P54" i="28"/>
  <c r="P52" i="28"/>
  <c r="P55" i="28"/>
  <c r="Q53" i="30"/>
  <c r="Q55" i="30"/>
  <c r="Q52" i="30"/>
  <c r="Q56" i="30"/>
  <c r="Q54" i="30"/>
  <c r="Q58" i="30"/>
  <c r="P51" i="30"/>
  <c r="P50" i="30" s="1"/>
  <c r="P125" i="30"/>
  <c r="O43" i="30"/>
  <c r="O51" i="28"/>
  <c r="Q44" i="28"/>
  <c r="Q57" i="28" s="1"/>
  <c r="Q44" i="29"/>
  <c r="Q57" i="29" s="1"/>
  <c r="R114" i="1"/>
  <c r="R44" i="30" s="1"/>
  <c r="R57" i="30" s="1"/>
  <c r="Q58" i="29" l="1"/>
  <c r="Q55" i="29"/>
  <c r="Q56" i="29"/>
  <c r="Q52" i="29"/>
  <c r="Q53" i="29"/>
  <c r="Q54" i="29"/>
  <c r="Q55" i="28"/>
  <c r="Q53" i="28"/>
  <c r="Q54" i="28"/>
  <c r="Q52" i="28"/>
  <c r="Q58" i="28"/>
  <c r="Q56" i="28"/>
  <c r="R56" i="30"/>
  <c r="R53" i="30"/>
  <c r="R52" i="30"/>
  <c r="R55" i="30"/>
  <c r="R58" i="30"/>
  <c r="R54" i="30"/>
  <c r="Q51" i="30"/>
  <c r="Q50" i="30" s="1"/>
  <c r="P43" i="30"/>
  <c r="Q125" i="30"/>
  <c r="P51" i="28"/>
  <c r="R44" i="28"/>
  <c r="R57" i="28" s="1"/>
  <c r="R44" i="29"/>
  <c r="R57" i="29" s="1"/>
  <c r="S114" i="1"/>
  <c r="S44" i="30" s="1"/>
  <c r="S57" i="30" s="1"/>
  <c r="R55" i="29" l="1"/>
  <c r="R52" i="29"/>
  <c r="R54" i="29"/>
  <c r="R53" i="29"/>
  <c r="R58" i="29"/>
  <c r="R56" i="29"/>
  <c r="R54" i="28"/>
  <c r="R58" i="28"/>
  <c r="R52" i="28"/>
  <c r="R53" i="28"/>
  <c r="R55" i="28"/>
  <c r="R56" i="28"/>
  <c r="S54" i="30"/>
  <c r="S53" i="30"/>
  <c r="S56" i="30"/>
  <c r="S52" i="30"/>
  <c r="S58" i="30"/>
  <c r="S55" i="30"/>
  <c r="R51" i="30"/>
  <c r="R50" i="30" s="1"/>
  <c r="S125" i="30" s="1"/>
  <c r="Q43" i="30"/>
  <c r="R125" i="30"/>
  <c r="Q51" i="28"/>
  <c r="S44" i="28"/>
  <c r="S57" i="28" s="1"/>
  <c r="S44" i="29"/>
  <c r="S57" i="29" s="1"/>
  <c r="T114" i="1"/>
  <c r="T44" i="30" s="1"/>
  <c r="T57" i="30" s="1"/>
  <c r="E23" i="1"/>
  <c r="S56" i="29" l="1"/>
  <c r="S53" i="29"/>
  <c r="S58" i="29"/>
  <c r="S55" i="29"/>
  <c r="S52" i="29"/>
  <c r="S54" i="29"/>
  <c r="S56" i="28"/>
  <c r="S55" i="28"/>
  <c r="S54" i="28"/>
  <c r="S58" i="28"/>
  <c r="S52" i="28"/>
  <c r="S53" i="28"/>
  <c r="T54" i="30"/>
  <c r="T55" i="30"/>
  <c r="T53" i="30"/>
  <c r="T56" i="30"/>
  <c r="T52" i="30"/>
  <c r="T58" i="30"/>
  <c r="R43" i="30"/>
  <c r="S51" i="30"/>
  <c r="S50" i="30" s="1"/>
  <c r="E95" i="1"/>
  <c r="E89" i="1"/>
  <c r="R51" i="28"/>
  <c r="T44" i="28"/>
  <c r="T57" i="28" s="1"/>
  <c r="T44" i="29"/>
  <c r="T57" i="29" s="1"/>
  <c r="T44" i="17"/>
  <c r="U114" i="1"/>
  <c r="T56" i="29" l="1"/>
  <c r="T53" i="29"/>
  <c r="T58" i="29"/>
  <c r="T55" i="29"/>
  <c r="T52" i="29"/>
  <c r="T54" i="29"/>
  <c r="T52" i="28"/>
  <c r="T56" i="28"/>
  <c r="T55" i="28"/>
  <c r="T54" i="28"/>
  <c r="T53" i="28"/>
  <c r="T58" i="28"/>
  <c r="T58" i="17"/>
  <c r="T51" i="30"/>
  <c r="T50" i="30" s="1"/>
  <c r="T125" i="30"/>
  <c r="S43" i="30"/>
  <c r="S51" i="28"/>
  <c r="D114" i="17"/>
  <c r="D113" i="17"/>
  <c r="E44" i="17"/>
  <c r="F5" i="17"/>
  <c r="E56" i="17" l="1"/>
  <c r="E57" i="17"/>
  <c r="E58" i="17"/>
  <c r="E54" i="17"/>
  <c r="E53" i="17"/>
  <c r="E55" i="17"/>
  <c r="E52" i="17"/>
  <c r="T43" i="30"/>
  <c r="U125" i="30"/>
  <c r="T51" i="28"/>
  <c r="G5" i="17"/>
  <c r="G208" i="17"/>
  <c r="G211" i="17" s="1"/>
  <c r="G214" i="17" s="1"/>
  <c r="G217" i="17" s="1"/>
  <c r="C124" i="30" l="1"/>
  <c r="D125" i="30"/>
  <c r="C125" i="30"/>
  <c r="D124" i="30"/>
  <c r="H5" i="17"/>
  <c r="H208" i="17"/>
  <c r="H211" i="17" s="1"/>
  <c r="H214" i="17" s="1"/>
  <c r="H217" i="17" s="1"/>
  <c r="I208" i="17" l="1"/>
  <c r="I211" i="17" s="1"/>
  <c r="I214" i="17" s="1"/>
  <c r="I217" i="17" s="1"/>
  <c r="I5" i="17"/>
  <c r="J208" i="17" l="1"/>
  <c r="J211" i="17" s="1"/>
  <c r="J214" i="17" s="1"/>
  <c r="J217" i="17" s="1"/>
  <c r="J5" i="17"/>
  <c r="K208" i="17" l="1"/>
  <c r="K211" i="17" s="1"/>
  <c r="K214" i="17" s="1"/>
  <c r="K217" i="17" s="1"/>
  <c r="K5" i="17"/>
  <c r="L208" i="17" l="1"/>
  <c r="L211" i="17" s="1"/>
  <c r="L214" i="17" s="1"/>
  <c r="L217" i="17" s="1"/>
  <c r="L5" i="17"/>
  <c r="M208" i="17" l="1"/>
  <c r="M211" i="17" s="1"/>
  <c r="M214" i="17" s="1"/>
  <c r="M217" i="17" s="1"/>
  <c r="M5" i="17"/>
  <c r="N208" i="17" l="1"/>
  <c r="N211" i="17" s="1"/>
  <c r="N214" i="17" s="1"/>
  <c r="N217" i="17" s="1"/>
  <c r="N5" i="17"/>
  <c r="O208" i="17" l="1"/>
  <c r="O211" i="17" s="1"/>
  <c r="O214" i="17" s="1"/>
  <c r="O217" i="17" s="1"/>
  <c r="O5" i="17"/>
  <c r="P208" i="17" l="1"/>
  <c r="P211" i="17" s="1"/>
  <c r="P214" i="17" s="1"/>
  <c r="P217" i="17" s="1"/>
  <c r="P5" i="17"/>
  <c r="Q208" i="17" l="1"/>
  <c r="Q211" i="17" s="1"/>
  <c r="Q214" i="17" s="1"/>
  <c r="Q217" i="17" s="1"/>
  <c r="Q5" i="17"/>
  <c r="R208" i="17" l="1"/>
  <c r="R211" i="17" s="1"/>
  <c r="R214" i="17" s="1"/>
  <c r="R217" i="17" s="1"/>
  <c r="R5" i="17"/>
  <c r="F14" i="1"/>
  <c r="S208" i="17" l="1"/>
  <c r="S211" i="17" s="1"/>
  <c r="S214" i="17" s="1"/>
  <c r="S217" i="17" s="1"/>
  <c r="S5" i="17"/>
  <c r="F23" i="1"/>
  <c r="F89" i="1" s="1"/>
  <c r="G14" i="1"/>
  <c r="T208" i="17" l="1"/>
  <c r="T211" i="17" s="1"/>
  <c r="T214" i="17" s="1"/>
  <c r="T217" i="17" s="1"/>
  <c r="T5" i="17"/>
  <c r="G23" i="1"/>
  <c r="G89" i="1" s="1"/>
  <c r="H14" i="1"/>
  <c r="E150" i="17" l="1"/>
  <c r="F150" i="17" s="1"/>
  <c r="G150" i="17" s="1"/>
  <c r="H150" i="17" s="1"/>
  <c r="I150" i="17" s="1"/>
  <c r="J150" i="17" s="1"/>
  <c r="K150" i="17" s="1"/>
  <c r="L150" i="17" s="1"/>
  <c r="M150" i="17" s="1"/>
  <c r="N150" i="17" s="1"/>
  <c r="O150" i="17" s="1"/>
  <c r="P150" i="17" s="1"/>
  <c r="Q150" i="17" s="1"/>
  <c r="R150" i="17" s="1"/>
  <c r="S150" i="17" s="1"/>
  <c r="T150" i="17" s="1"/>
  <c r="U150" i="17" s="1"/>
  <c r="E122" i="17"/>
  <c r="F122" i="17" s="1"/>
  <c r="G122" i="17" s="1"/>
  <c r="H122" i="17" s="1"/>
  <c r="I122" i="17" s="1"/>
  <c r="J122" i="17" s="1"/>
  <c r="K122" i="17" s="1"/>
  <c r="L122" i="17" s="1"/>
  <c r="M122" i="17" s="1"/>
  <c r="N122" i="17" s="1"/>
  <c r="O122" i="17" s="1"/>
  <c r="P122" i="17" s="1"/>
  <c r="Q122" i="17" s="1"/>
  <c r="R122" i="17" s="1"/>
  <c r="S122" i="17" s="1"/>
  <c r="T122" i="17" s="1"/>
  <c r="U208" i="17"/>
  <c r="U211" i="17" s="1"/>
  <c r="U214" i="17" s="1"/>
  <c r="U217" i="17" s="1"/>
  <c r="H23" i="1"/>
  <c r="H89" i="1" s="1"/>
  <c r="I14" i="1"/>
  <c r="I23" i="1" l="1"/>
  <c r="I89" i="1" s="1"/>
  <c r="J14" i="1"/>
  <c r="J23" i="1" l="1"/>
  <c r="J89" i="1" s="1"/>
  <c r="K14" i="1"/>
  <c r="K23" i="1" l="1"/>
  <c r="K89" i="1" s="1"/>
  <c r="L14" i="1"/>
  <c r="L23" i="1" l="1"/>
  <c r="L89" i="1" s="1"/>
  <c r="M14" i="1"/>
  <c r="M23" i="1" l="1"/>
  <c r="M89" i="1" s="1"/>
  <c r="N14" i="1"/>
  <c r="N23" i="1" l="1"/>
  <c r="N89" i="1" s="1"/>
  <c r="O14" i="1"/>
  <c r="O23" i="1" l="1"/>
  <c r="O89" i="1" s="1"/>
  <c r="P14" i="1"/>
  <c r="P23" i="1" l="1"/>
  <c r="P89" i="1" s="1"/>
  <c r="Q14" i="1"/>
  <c r="Q23" i="1" l="1"/>
  <c r="Q89" i="1" s="1"/>
  <c r="R14" i="1"/>
  <c r="R23" i="1" l="1"/>
  <c r="R89" i="1" s="1"/>
  <c r="S14" i="1"/>
  <c r="T14" i="1" s="1"/>
  <c r="T23" i="1" l="1"/>
  <c r="T89" i="1" s="1"/>
  <c r="U14" i="1"/>
  <c r="T95" i="1"/>
  <c r="T113" i="1"/>
  <c r="S23" i="1"/>
  <c r="S89" i="1" s="1"/>
  <c r="U23" i="1" l="1"/>
  <c r="U89" i="1" s="1"/>
  <c r="U113" i="1"/>
  <c r="U95" i="1"/>
  <c r="E93" i="17" l="1"/>
  <c r="E105" i="17" l="1"/>
  <c r="E97" i="17"/>
  <c r="E101" i="17" l="1"/>
  <c r="F44" i="17"/>
  <c r="G44" i="17"/>
  <c r="G56" i="17" l="1"/>
  <c r="G57" i="17"/>
  <c r="F56" i="17"/>
  <c r="F57" i="17"/>
  <c r="F54" i="17"/>
  <c r="F58" i="17"/>
  <c r="F55" i="17"/>
  <c r="F53" i="17"/>
  <c r="F52" i="17"/>
  <c r="G53" i="17"/>
  <c r="G58" i="17"/>
  <c r="G55" i="17"/>
  <c r="G52" i="17"/>
  <c r="G54" i="17"/>
  <c r="F50" i="28"/>
  <c r="G50" i="28"/>
  <c r="H44" i="17"/>
  <c r="H57" i="17" l="1"/>
  <c r="H56" i="17"/>
  <c r="H54" i="17"/>
  <c r="H58" i="17"/>
  <c r="H55" i="17"/>
  <c r="H52" i="17"/>
  <c r="H53" i="17"/>
  <c r="H50" i="28"/>
  <c r="G43" i="28"/>
  <c r="G176" i="28" s="1"/>
  <c r="G213" i="28"/>
  <c r="F51" i="17"/>
  <c r="G51" i="17"/>
  <c r="I44" i="17"/>
  <c r="I57" i="17" l="1"/>
  <c r="I56" i="17"/>
  <c r="I54" i="17"/>
  <c r="I55" i="17"/>
  <c r="I58" i="17"/>
  <c r="I53" i="17"/>
  <c r="I52" i="17"/>
  <c r="H213" i="28"/>
  <c r="F43" i="28"/>
  <c r="F176" i="28" s="1"/>
  <c r="H43" i="28"/>
  <c r="H176" i="28" s="1"/>
  <c r="H51" i="17"/>
  <c r="J44" i="17"/>
  <c r="G130" i="30"/>
  <c r="J56" i="17" l="1"/>
  <c r="J57" i="17"/>
  <c r="J52" i="17"/>
  <c r="J53" i="17"/>
  <c r="J58" i="17"/>
  <c r="J54" i="17"/>
  <c r="J55" i="17"/>
  <c r="G127" i="30"/>
  <c r="G221" i="29"/>
  <c r="G133" i="30"/>
  <c r="I50" i="28"/>
  <c r="J50" i="28"/>
  <c r="I213" i="28"/>
  <c r="I51" i="17"/>
  <c r="G218" i="28"/>
  <c r="G218" i="29"/>
  <c r="G215" i="28"/>
  <c r="G215" i="29"/>
  <c r="G221" i="28"/>
  <c r="G218" i="17"/>
  <c r="G215" i="17"/>
  <c r="G212" i="17"/>
  <c r="H130" i="30"/>
  <c r="F93" i="17"/>
  <c r="G93" i="30"/>
  <c r="H127" i="30" l="1"/>
  <c r="H221" i="29"/>
  <c r="H133" i="30"/>
  <c r="G95" i="30"/>
  <c r="G105" i="30"/>
  <c r="G107" i="30" s="1"/>
  <c r="G97" i="30"/>
  <c r="K50" i="28"/>
  <c r="J213" i="28"/>
  <c r="K213" i="28"/>
  <c r="J51" i="17"/>
  <c r="H215" i="28"/>
  <c r="H215" i="29"/>
  <c r="G105" i="29"/>
  <c r="G93" i="29"/>
  <c r="H218" i="28"/>
  <c r="H218" i="29"/>
  <c r="H221" i="28"/>
  <c r="G105" i="28"/>
  <c r="G107" i="28" s="1"/>
  <c r="G93" i="28"/>
  <c r="F97" i="17"/>
  <c r="F105" i="17"/>
  <c r="H215" i="17"/>
  <c r="H218" i="17"/>
  <c r="H212" i="17"/>
  <c r="G93" i="17"/>
  <c r="K44" i="17"/>
  <c r="K57" i="17" s="1"/>
  <c r="F95" i="17"/>
  <c r="H93" i="30"/>
  <c r="K58" i="17" l="1"/>
  <c r="K52" i="17"/>
  <c r="K56" i="17"/>
  <c r="K54" i="17"/>
  <c r="K55" i="17"/>
  <c r="K53" i="17"/>
  <c r="G101" i="30"/>
  <c r="G103" i="30" s="1"/>
  <c r="G99" i="30"/>
  <c r="H95" i="30"/>
  <c r="H97" i="30"/>
  <c r="H105" i="30"/>
  <c r="H107" i="30" s="1"/>
  <c r="L50" i="28"/>
  <c r="J43" i="28"/>
  <c r="J176" i="28" s="1"/>
  <c r="L213" i="28"/>
  <c r="I43" i="28"/>
  <c r="I176" i="28" s="1"/>
  <c r="F99" i="17"/>
  <c r="H105" i="29"/>
  <c r="H93" i="29"/>
  <c r="G97" i="29"/>
  <c r="F101" i="17"/>
  <c r="F103" i="17" s="1"/>
  <c r="H105" i="28"/>
  <c r="H107" i="28" s="1"/>
  <c r="H93" i="28"/>
  <c r="G97" i="28"/>
  <c r="G101" i="28" s="1"/>
  <c r="G95" i="28"/>
  <c r="G97" i="17"/>
  <c r="G105" i="17"/>
  <c r="G95" i="17"/>
  <c r="H93" i="17"/>
  <c r="L44" i="17"/>
  <c r="L57" i="17" s="1"/>
  <c r="I93" i="30"/>
  <c r="G91" i="30" l="1"/>
  <c r="L53" i="17"/>
  <c r="L55" i="17"/>
  <c r="L52" i="17"/>
  <c r="L56" i="17"/>
  <c r="L54" i="17"/>
  <c r="L58" i="17"/>
  <c r="I97" i="30"/>
  <c r="I95" i="30"/>
  <c r="I105" i="30"/>
  <c r="I107" i="30" s="1"/>
  <c r="H99" i="30"/>
  <c r="H101" i="30"/>
  <c r="H103" i="30" s="1"/>
  <c r="M50" i="28"/>
  <c r="L43" i="28"/>
  <c r="L176" i="28" s="1"/>
  <c r="K43" i="28"/>
  <c r="K176" i="28" s="1"/>
  <c r="G101" i="17"/>
  <c r="G103" i="17" s="1"/>
  <c r="K51" i="17"/>
  <c r="G101" i="29"/>
  <c r="I105" i="29"/>
  <c r="I93" i="29"/>
  <c r="H97" i="29"/>
  <c r="G103" i="28"/>
  <c r="G99" i="28"/>
  <c r="H97" i="28"/>
  <c r="H101" i="28" s="1"/>
  <c r="H95" i="28"/>
  <c r="I105" i="28"/>
  <c r="I107" i="28" s="1"/>
  <c r="I93" i="28"/>
  <c r="G99" i="17"/>
  <c r="H97" i="17"/>
  <c r="H105" i="17"/>
  <c r="I93" i="17"/>
  <c r="M44" i="17"/>
  <c r="M57" i="17" s="1"/>
  <c r="H95" i="17"/>
  <c r="J93" i="30"/>
  <c r="G91" i="28" l="1"/>
  <c r="G177" i="28" s="1"/>
  <c r="H91" i="30"/>
  <c r="M52" i="17"/>
  <c r="M58" i="17"/>
  <c r="M55" i="17"/>
  <c r="M56" i="17"/>
  <c r="M53" i="17"/>
  <c r="M54" i="17"/>
  <c r="J97" i="30"/>
  <c r="J95" i="30"/>
  <c r="J105" i="30"/>
  <c r="J107" i="30" s="1"/>
  <c r="I101" i="30"/>
  <c r="I103" i="30" s="1"/>
  <c r="I99" i="30"/>
  <c r="N50" i="28"/>
  <c r="M213" i="28"/>
  <c r="M43" i="28"/>
  <c r="M176" i="28" s="1"/>
  <c r="H101" i="17"/>
  <c r="H103" i="17" s="1"/>
  <c r="L51" i="17"/>
  <c r="H101" i="29"/>
  <c r="J105" i="29"/>
  <c r="J93" i="29"/>
  <c r="I97" i="29"/>
  <c r="H103" i="28"/>
  <c r="H99" i="17"/>
  <c r="J105" i="28"/>
  <c r="J107" i="28" s="1"/>
  <c r="J93" i="28"/>
  <c r="H99" i="28"/>
  <c r="I97" i="28"/>
  <c r="I101" i="28" s="1"/>
  <c r="I95" i="28"/>
  <c r="I97" i="17"/>
  <c r="I105" i="17"/>
  <c r="N44" i="17"/>
  <c r="J93" i="17"/>
  <c r="I95" i="17"/>
  <c r="K93" i="30"/>
  <c r="H91" i="28" l="1"/>
  <c r="H177" i="28" s="1"/>
  <c r="I91" i="30"/>
  <c r="N58" i="17"/>
  <c r="K97" i="30"/>
  <c r="K105" i="30"/>
  <c r="K107" i="30" s="1"/>
  <c r="K95" i="30"/>
  <c r="J101" i="30"/>
  <c r="J103" i="30" s="1"/>
  <c r="J99" i="30"/>
  <c r="O50" i="28"/>
  <c r="N43" i="28"/>
  <c r="N176" i="28" s="1"/>
  <c r="N213" i="28"/>
  <c r="I101" i="17"/>
  <c r="I103" i="17" s="1"/>
  <c r="M51" i="17"/>
  <c r="J97" i="29"/>
  <c r="I101" i="29"/>
  <c r="K105" i="29"/>
  <c r="K93" i="29"/>
  <c r="I103" i="28"/>
  <c r="K105" i="28"/>
  <c r="K107" i="28" s="1"/>
  <c r="K93" i="28"/>
  <c r="I99" i="28"/>
  <c r="J97" i="28"/>
  <c r="J101" i="28" s="1"/>
  <c r="J95" i="28"/>
  <c r="I99" i="17"/>
  <c r="J97" i="17"/>
  <c r="J105" i="17"/>
  <c r="J95" i="17"/>
  <c r="K93" i="17"/>
  <c r="O44" i="17"/>
  <c r="L93" i="30"/>
  <c r="I91" i="28" l="1"/>
  <c r="I177" i="28" s="1"/>
  <c r="J91" i="30"/>
  <c r="O58" i="17"/>
  <c r="L95" i="30"/>
  <c r="L97" i="30"/>
  <c r="L105" i="30"/>
  <c r="L107" i="30" s="1"/>
  <c r="K101" i="30"/>
  <c r="K103" i="30" s="1"/>
  <c r="K99" i="30"/>
  <c r="P50" i="28"/>
  <c r="O213" i="28"/>
  <c r="O43" i="28"/>
  <c r="O176" i="28" s="1"/>
  <c r="K97" i="29"/>
  <c r="L105" i="29"/>
  <c r="L93" i="29"/>
  <c r="J101" i="29"/>
  <c r="J101" i="17"/>
  <c r="J103" i="17" s="1"/>
  <c r="J103" i="28"/>
  <c r="L105" i="28"/>
  <c r="L107" i="28" s="1"/>
  <c r="L93" i="28"/>
  <c r="J99" i="28"/>
  <c r="K97" i="28"/>
  <c r="K101" i="28" s="1"/>
  <c r="K95" i="28"/>
  <c r="J99" i="17"/>
  <c r="K97" i="17"/>
  <c r="K105" i="17"/>
  <c r="K95" i="17"/>
  <c r="P44" i="17"/>
  <c r="L93" i="17"/>
  <c r="M93" i="30"/>
  <c r="J91" i="28" l="1"/>
  <c r="J177" i="28" s="1"/>
  <c r="K91" i="30"/>
  <c r="P58" i="17"/>
  <c r="M97" i="30"/>
  <c r="M95" i="30"/>
  <c r="M105" i="30"/>
  <c r="M107" i="30" s="1"/>
  <c r="L101" i="30"/>
  <c r="L103" i="30" s="1"/>
  <c r="L99" i="30"/>
  <c r="Q50" i="28"/>
  <c r="Q213" i="28"/>
  <c r="P213" i="28"/>
  <c r="K101" i="17"/>
  <c r="K103" i="17" s="1"/>
  <c r="L97" i="29"/>
  <c r="K101" i="29"/>
  <c r="M105" i="29"/>
  <c r="M93" i="29"/>
  <c r="K103" i="28"/>
  <c r="M105" i="28"/>
  <c r="M107" i="28" s="1"/>
  <c r="M93" i="28"/>
  <c r="K99" i="28"/>
  <c r="L97" i="28"/>
  <c r="L101" i="28" s="1"/>
  <c r="L95" i="28"/>
  <c r="K99" i="17"/>
  <c r="L97" i="17"/>
  <c r="L105" i="17"/>
  <c r="Q44" i="17"/>
  <c r="M93" i="17"/>
  <c r="L95" i="17"/>
  <c r="N93" i="30"/>
  <c r="K91" i="28" l="1"/>
  <c r="K177" i="28" s="1"/>
  <c r="L91" i="30"/>
  <c r="Q58" i="17"/>
  <c r="N105" i="30"/>
  <c r="N107" i="30" s="1"/>
  <c r="N97" i="30"/>
  <c r="N95" i="30"/>
  <c r="M101" i="30"/>
  <c r="M103" i="30" s="1"/>
  <c r="M99" i="30"/>
  <c r="R50" i="28"/>
  <c r="P43" i="28"/>
  <c r="P176" i="28" s="1"/>
  <c r="Q43" i="28"/>
  <c r="Q176" i="28" s="1"/>
  <c r="L101" i="17"/>
  <c r="L103" i="17" s="1"/>
  <c r="M97" i="29"/>
  <c r="N105" i="29"/>
  <c r="N93" i="29"/>
  <c r="L101" i="29"/>
  <c r="L103" i="28"/>
  <c r="N105" i="28"/>
  <c r="N107" i="28" s="1"/>
  <c r="N93" i="28"/>
  <c r="M97" i="28"/>
  <c r="M101" i="28" s="1"/>
  <c r="M95" i="28"/>
  <c r="L99" i="28"/>
  <c r="L99" i="17"/>
  <c r="M97" i="17"/>
  <c r="M105" i="17"/>
  <c r="R44" i="17"/>
  <c r="M95" i="17"/>
  <c r="N93" i="17"/>
  <c r="O93" i="30"/>
  <c r="L91" i="28" l="1"/>
  <c r="L177" i="28" s="1"/>
  <c r="M91" i="30"/>
  <c r="R58" i="17"/>
  <c r="N101" i="30"/>
  <c r="N103" i="30" s="1"/>
  <c r="N99" i="30"/>
  <c r="O95" i="30"/>
  <c r="O105" i="30"/>
  <c r="O107" i="30" s="1"/>
  <c r="O97" i="30"/>
  <c r="S50" i="28"/>
  <c r="T50" i="28"/>
  <c r="R213" i="28"/>
  <c r="S213" i="28"/>
  <c r="M101" i="17"/>
  <c r="M103" i="17" s="1"/>
  <c r="N97" i="29"/>
  <c r="M101" i="29"/>
  <c r="O105" i="29"/>
  <c r="O93" i="29"/>
  <c r="M103" i="28"/>
  <c r="O105" i="28"/>
  <c r="O107" i="28" s="1"/>
  <c r="O93" i="28"/>
  <c r="N97" i="28"/>
  <c r="N101" i="28" s="1"/>
  <c r="N95" i="28"/>
  <c r="M99" i="28"/>
  <c r="M99" i="17"/>
  <c r="N97" i="17"/>
  <c r="N105" i="17"/>
  <c r="S44" i="17"/>
  <c r="O93" i="17"/>
  <c r="P93" i="30"/>
  <c r="M91" i="28" l="1"/>
  <c r="M177" i="28" s="1"/>
  <c r="N91" i="30"/>
  <c r="S58" i="17"/>
  <c r="O101" i="30"/>
  <c r="O103" i="30" s="1"/>
  <c r="O99" i="30"/>
  <c r="P95" i="30"/>
  <c r="P97" i="30"/>
  <c r="P105" i="30"/>
  <c r="P107" i="30" s="1"/>
  <c r="R43" i="28"/>
  <c r="R176" i="28" s="1"/>
  <c r="T213" i="28"/>
  <c r="U213" i="28"/>
  <c r="P105" i="29"/>
  <c r="P93" i="29"/>
  <c r="O97" i="29"/>
  <c r="N101" i="29"/>
  <c r="N101" i="17"/>
  <c r="N103" i="17" s="1"/>
  <c r="N103" i="28"/>
  <c r="O97" i="28"/>
  <c r="O101" i="28" s="1"/>
  <c r="O95" i="28"/>
  <c r="P105" i="28"/>
  <c r="P107" i="28" s="1"/>
  <c r="P93" i="28"/>
  <c r="N99" i="28"/>
  <c r="O97" i="17"/>
  <c r="O105" i="17"/>
  <c r="P93" i="17"/>
  <c r="Q93" i="30"/>
  <c r="N91" i="28" l="1"/>
  <c r="N177" i="28" s="1"/>
  <c r="O91" i="30"/>
  <c r="P101" i="30"/>
  <c r="P103" i="30" s="1"/>
  <c r="P99" i="30"/>
  <c r="Q95" i="30"/>
  <c r="Q105" i="30"/>
  <c r="Q107" i="30" s="1"/>
  <c r="Q97" i="30"/>
  <c r="S43" i="28"/>
  <c r="S176" i="28" s="1"/>
  <c r="T43" i="28"/>
  <c r="T176" i="28" s="1"/>
  <c r="O101" i="17"/>
  <c r="O103" i="17" s="1"/>
  <c r="Q105" i="29"/>
  <c r="Q93" i="29"/>
  <c r="O101" i="29"/>
  <c r="P97" i="29"/>
  <c r="O103" i="28"/>
  <c r="D213" i="28"/>
  <c r="C213" i="28"/>
  <c r="D212" i="28"/>
  <c r="C212" i="28"/>
  <c r="O99" i="28"/>
  <c r="Q105" i="28"/>
  <c r="Q107" i="28" s="1"/>
  <c r="Q93" i="28"/>
  <c r="P97" i="28"/>
  <c r="P101" i="28" s="1"/>
  <c r="P95" i="28"/>
  <c r="P97" i="17"/>
  <c r="P105" i="17"/>
  <c r="Q93" i="17"/>
  <c r="R93" i="30"/>
  <c r="O91" i="28" l="1"/>
  <c r="O177" i="28" s="1"/>
  <c r="P91" i="30"/>
  <c r="H122" i="14"/>
  <c r="I122" i="14"/>
  <c r="J122" i="14"/>
  <c r="K122" i="14"/>
  <c r="Q99" i="30"/>
  <c r="Q101" i="30"/>
  <c r="Q103" i="30" s="1"/>
  <c r="R97" i="30"/>
  <c r="R95" i="30"/>
  <c r="R105" i="30"/>
  <c r="R107" i="30" s="1"/>
  <c r="R105" i="29"/>
  <c r="R93" i="29"/>
  <c r="P101" i="29"/>
  <c r="Q97" i="29"/>
  <c r="P101" i="17"/>
  <c r="P103" i="17" s="1"/>
  <c r="P103" i="28"/>
  <c r="Q97" i="28"/>
  <c r="Q101" i="28" s="1"/>
  <c r="Q95" i="28"/>
  <c r="R105" i="28"/>
  <c r="R107" i="28" s="1"/>
  <c r="R93" i="28"/>
  <c r="P99" i="28"/>
  <c r="Q97" i="17"/>
  <c r="Q105" i="17"/>
  <c r="R93" i="17"/>
  <c r="S93" i="30"/>
  <c r="P91" i="28" l="1"/>
  <c r="P177" i="28" s="1"/>
  <c r="Q91" i="30"/>
  <c r="S105" i="30"/>
  <c r="S107" i="30" s="1"/>
  <c r="S97" i="30"/>
  <c r="S95" i="30"/>
  <c r="R101" i="30"/>
  <c r="R103" i="30" s="1"/>
  <c r="R99" i="30"/>
  <c r="Q101" i="29"/>
  <c r="S105" i="29"/>
  <c r="S93" i="29"/>
  <c r="R97" i="29"/>
  <c r="Q101" i="17"/>
  <c r="Q103" i="17" s="1"/>
  <c r="Q103" i="28"/>
  <c r="R97" i="28"/>
  <c r="R101" i="28" s="1"/>
  <c r="R95" i="28"/>
  <c r="S105" i="28"/>
  <c r="S107" i="28" s="1"/>
  <c r="S93" i="28"/>
  <c r="Q99" i="28"/>
  <c r="R97" i="17"/>
  <c r="R105" i="17"/>
  <c r="T93" i="30"/>
  <c r="S93" i="17"/>
  <c r="F17" i="1"/>
  <c r="F185" i="17" s="1"/>
  <c r="F184" i="17" s="1"/>
  <c r="Q91" i="28" l="1"/>
  <c r="Q177" i="28" s="1"/>
  <c r="R91" i="30"/>
  <c r="S101" i="30"/>
  <c r="S103" i="30" s="1"/>
  <c r="S99" i="30"/>
  <c r="T95" i="30"/>
  <c r="T97" i="30"/>
  <c r="T105" i="30"/>
  <c r="T107" i="30" s="1"/>
  <c r="R101" i="17"/>
  <c r="R103" i="17" s="1"/>
  <c r="F184" i="28"/>
  <c r="F183" i="28" s="1"/>
  <c r="F184" i="29"/>
  <c r="F183" i="29" s="1"/>
  <c r="S97" i="29"/>
  <c r="R101" i="29"/>
  <c r="T105" i="29"/>
  <c r="T93" i="29"/>
  <c r="R103" i="28"/>
  <c r="S97" i="28"/>
  <c r="S101" i="28" s="1"/>
  <c r="S95" i="28"/>
  <c r="T105" i="28"/>
  <c r="T107" i="28" s="1"/>
  <c r="T93" i="28"/>
  <c r="R99" i="28"/>
  <c r="S97" i="17"/>
  <c r="S105" i="17"/>
  <c r="T93" i="17"/>
  <c r="G17" i="1"/>
  <c r="G185" i="17" s="1"/>
  <c r="G184" i="17" s="1"/>
  <c r="R91" i="28" l="1"/>
  <c r="R177" i="28" s="1"/>
  <c r="S91" i="30"/>
  <c r="T101" i="30"/>
  <c r="T103" i="30" s="1"/>
  <c r="T99" i="30"/>
  <c r="S101" i="17"/>
  <c r="S103" i="17" s="1"/>
  <c r="G184" i="28"/>
  <c r="G183" i="28" s="1"/>
  <c r="G184" i="29"/>
  <c r="G183" i="29" s="1"/>
  <c r="S101" i="29"/>
  <c r="T97" i="29"/>
  <c r="S103" i="28"/>
  <c r="T97" i="28"/>
  <c r="T101" i="28" s="1"/>
  <c r="T95" i="28"/>
  <c r="S99" i="28"/>
  <c r="T97" i="17"/>
  <c r="T105" i="17"/>
  <c r="H17" i="1"/>
  <c r="H185" i="17" s="1"/>
  <c r="H184" i="17" s="1"/>
  <c r="S91" i="28" l="1"/>
  <c r="S177" i="28" s="1"/>
  <c r="T91" i="30"/>
  <c r="H184" i="28"/>
  <c r="H183" i="28" s="1"/>
  <c r="H184" i="29"/>
  <c r="H183" i="29" s="1"/>
  <c r="T101" i="29"/>
  <c r="T101" i="17"/>
  <c r="T103" i="17" s="1"/>
  <c r="T103" i="28"/>
  <c r="T99" i="28"/>
  <c r="I17" i="1"/>
  <c r="I185" i="17" s="1"/>
  <c r="I184" i="17" s="1"/>
  <c r="T91" i="28" l="1"/>
  <c r="T177" i="28" s="1"/>
  <c r="I184" i="28"/>
  <c r="I183" i="28" s="1"/>
  <c r="I184" i="29"/>
  <c r="I183" i="29" s="1"/>
  <c r="J17" i="1"/>
  <c r="J185" i="17" s="1"/>
  <c r="J184" i="17" s="1"/>
  <c r="J184" i="28" l="1"/>
  <c r="J183" i="28" s="1"/>
  <c r="J184" i="29"/>
  <c r="J183" i="29" s="1"/>
  <c r="K17" i="1"/>
  <c r="K185" i="17" s="1"/>
  <c r="K184" i="17" s="1"/>
  <c r="K184" i="28" l="1"/>
  <c r="K183" i="28" s="1"/>
  <c r="K184" i="29"/>
  <c r="K183" i="29" s="1"/>
  <c r="L17" i="1"/>
  <c r="L185" i="17" s="1"/>
  <c r="L184" i="17" s="1"/>
  <c r="L184" i="28" l="1"/>
  <c r="L183" i="28" s="1"/>
  <c r="L184" i="29"/>
  <c r="L183" i="29" s="1"/>
  <c r="M17" i="1"/>
  <c r="M185" i="17" s="1"/>
  <c r="M184" i="17" s="1"/>
  <c r="M184" i="28" l="1"/>
  <c r="M183" i="28" s="1"/>
  <c r="M184" i="29"/>
  <c r="M183" i="29" s="1"/>
  <c r="N17" i="1"/>
  <c r="N185" i="17" s="1"/>
  <c r="N184" i="17" s="1"/>
  <c r="N184" i="28" l="1"/>
  <c r="N183" i="28" s="1"/>
  <c r="N184" i="29"/>
  <c r="N183" i="29" s="1"/>
  <c r="O17" i="1"/>
  <c r="O185" i="17" s="1"/>
  <c r="O184" i="17" s="1"/>
  <c r="O184" i="28" l="1"/>
  <c r="O183" i="28" s="1"/>
  <c r="O184" i="29"/>
  <c r="O183" i="29" s="1"/>
  <c r="P17" i="1"/>
  <c r="P185" i="17" s="1"/>
  <c r="P184" i="17" s="1"/>
  <c r="P184" i="28" l="1"/>
  <c r="P183" i="28" s="1"/>
  <c r="P184" i="29"/>
  <c r="P183" i="29" s="1"/>
  <c r="Q17" i="1"/>
  <c r="Q185" i="17" s="1"/>
  <c r="Q184" i="17" s="1"/>
  <c r="Q184" i="28" l="1"/>
  <c r="Q183" i="28" s="1"/>
  <c r="Q184" i="29"/>
  <c r="Q183" i="29" s="1"/>
  <c r="R17" i="1"/>
  <c r="R185" i="17" s="1"/>
  <c r="R184" i="17" s="1"/>
  <c r="R184" i="28" l="1"/>
  <c r="R183" i="28" s="1"/>
  <c r="R184" i="29"/>
  <c r="R183" i="29" s="1"/>
  <c r="S17" i="1"/>
  <c r="S185" i="17" s="1"/>
  <c r="S184" i="17" s="1"/>
  <c r="S184" i="28" l="1"/>
  <c r="S183" i="28" s="1"/>
  <c r="S184" i="29"/>
  <c r="S183" i="29" s="1"/>
  <c r="T17" i="1"/>
  <c r="T185" i="17" s="1"/>
  <c r="T184" i="17" s="1"/>
  <c r="D173" i="17" l="1"/>
  <c r="D171" i="17"/>
  <c r="T184" i="28"/>
  <c r="T183" i="28" s="1"/>
  <c r="T184" i="29"/>
  <c r="T183" i="29" s="1"/>
  <c r="U17" i="1"/>
  <c r="D170" i="29" l="1"/>
  <c r="E113" i="1"/>
  <c r="F95" i="1" l="1"/>
  <c r="F113" i="1"/>
  <c r="I130" i="30"/>
  <c r="F16" i="1"/>
  <c r="F144" i="17" s="1"/>
  <c r="F143" i="17" s="1"/>
  <c r="F194" i="17" s="1"/>
  <c r="I221" i="29" l="1"/>
  <c r="I133" i="30"/>
  <c r="I127" i="30"/>
  <c r="F143" i="28"/>
  <c r="F142" i="28" s="1"/>
  <c r="F193" i="28" s="1"/>
  <c r="F143" i="29"/>
  <c r="F142" i="29" s="1"/>
  <c r="F193" i="29" s="1"/>
  <c r="I218" i="28"/>
  <c r="I218" i="29"/>
  <c r="I215" i="28"/>
  <c r="I215" i="29"/>
  <c r="I221" i="28"/>
  <c r="I215" i="17"/>
  <c r="I218" i="17"/>
  <c r="I212" i="17"/>
  <c r="J130" i="30"/>
  <c r="G95" i="1"/>
  <c r="J133" i="30"/>
  <c r="G113" i="1"/>
  <c r="G16" i="1"/>
  <c r="K144" i="17" l="1"/>
  <c r="K143" i="17" s="1"/>
  <c r="K194" i="17" s="1"/>
  <c r="G144" i="17"/>
  <c r="G143" i="17" s="1"/>
  <c r="G194" i="17" s="1"/>
  <c r="J127" i="30"/>
  <c r="J215" i="29"/>
  <c r="J221" i="28"/>
  <c r="J221" i="29"/>
  <c r="K143" i="29"/>
  <c r="K142" i="29" s="1"/>
  <c r="K193" i="29" s="1"/>
  <c r="G143" i="29"/>
  <c r="G142" i="29" s="1"/>
  <c r="G193" i="29" s="1"/>
  <c r="J218" i="28"/>
  <c r="J218" i="29"/>
  <c r="K143" i="28"/>
  <c r="K142" i="28" s="1"/>
  <c r="G143" i="28"/>
  <c r="G142" i="28" s="1"/>
  <c r="J215" i="28"/>
  <c r="J212" i="17"/>
  <c r="J215" i="17"/>
  <c r="J218" i="17"/>
  <c r="K130" i="30"/>
  <c r="H95" i="1"/>
  <c r="H16" i="1"/>
  <c r="H144" i="17" s="1"/>
  <c r="H143" i="17" s="1"/>
  <c r="H194" i="17" s="1"/>
  <c r="H113" i="1"/>
  <c r="K133" i="30"/>
  <c r="K127" i="30" l="1"/>
  <c r="K221" i="28"/>
  <c r="K221" i="29"/>
  <c r="K218" i="28"/>
  <c r="K218" i="29"/>
  <c r="H143" i="28"/>
  <c r="H142" i="28" s="1"/>
  <c r="H193" i="28" s="1"/>
  <c r="H143" i="29"/>
  <c r="H142" i="29" s="1"/>
  <c r="H193" i="29" s="1"/>
  <c r="K215" i="29"/>
  <c r="G193" i="28"/>
  <c r="K193" i="28"/>
  <c r="K215" i="28"/>
  <c r="K218" i="17"/>
  <c r="K212" i="17"/>
  <c r="K215" i="17"/>
  <c r="L130" i="30"/>
  <c r="I95" i="1"/>
  <c r="I113" i="1"/>
  <c r="I16" i="1"/>
  <c r="I144" i="17" s="1"/>
  <c r="I143" i="17" s="1"/>
  <c r="I194" i="17" s="1"/>
  <c r="L133" i="30"/>
  <c r="L127" i="30" l="1"/>
  <c r="L221" i="28"/>
  <c r="L221" i="29"/>
  <c r="I143" i="28"/>
  <c r="I142" i="28" s="1"/>
  <c r="I193" i="28" s="1"/>
  <c r="I143" i="29"/>
  <c r="I142" i="29" s="1"/>
  <c r="I193" i="29" s="1"/>
  <c r="L215" i="29"/>
  <c r="L218" i="28"/>
  <c r="L218" i="29"/>
  <c r="L215" i="28"/>
  <c r="L212" i="17"/>
  <c r="L218" i="17"/>
  <c r="L215" i="17"/>
  <c r="M130" i="30"/>
  <c r="J95" i="1"/>
  <c r="J16" i="1"/>
  <c r="J144" i="17" s="1"/>
  <c r="J143" i="17" s="1"/>
  <c r="J194" i="17" s="1"/>
  <c r="J113" i="1"/>
  <c r="M133" i="30"/>
  <c r="M127" i="30" l="1"/>
  <c r="J143" i="28"/>
  <c r="J142" i="28" s="1"/>
  <c r="J193" i="28" s="1"/>
  <c r="J143" i="29"/>
  <c r="J142" i="29" s="1"/>
  <c r="J193" i="29" s="1"/>
  <c r="M221" i="28"/>
  <c r="M221" i="29"/>
  <c r="M215" i="29"/>
  <c r="M218" i="28"/>
  <c r="M218" i="29"/>
  <c r="M215" i="28"/>
  <c r="M215" i="17"/>
  <c r="M218" i="17"/>
  <c r="M212" i="17"/>
  <c r="N130" i="30"/>
  <c r="K95" i="1"/>
  <c r="L113" i="1"/>
  <c r="K113" i="1"/>
  <c r="K37" i="1"/>
  <c r="K16" i="1"/>
  <c r="N133" i="30"/>
  <c r="N127" i="30" l="1"/>
  <c r="N218" i="28"/>
  <c r="N218" i="29"/>
  <c r="N215" i="29"/>
  <c r="N221" i="28"/>
  <c r="N221" i="29"/>
  <c r="N215" i="28"/>
  <c r="N212" i="17"/>
  <c r="N218" i="17"/>
  <c r="N215" i="17"/>
  <c r="O130" i="30"/>
  <c r="L16" i="1"/>
  <c r="L144" i="17" s="1"/>
  <c r="L143" i="17" s="1"/>
  <c r="L194" i="17" s="1"/>
  <c r="L37" i="1"/>
  <c r="M113" i="1"/>
  <c r="L95" i="1"/>
  <c r="O133" i="30"/>
  <c r="M37" i="1"/>
  <c r="O127" i="30" l="1"/>
  <c r="O221" i="28"/>
  <c r="O221" i="29"/>
  <c r="L143" i="28"/>
  <c r="L142" i="28" s="1"/>
  <c r="L193" i="28" s="1"/>
  <c r="L143" i="29"/>
  <c r="L142" i="29" s="1"/>
  <c r="L193" i="29" s="1"/>
  <c r="O215" i="29"/>
  <c r="O218" i="28"/>
  <c r="O218" i="29"/>
  <c r="O215" i="28"/>
  <c r="O212" i="17"/>
  <c r="O215" i="17"/>
  <c r="O218" i="17"/>
  <c r="P130" i="30"/>
  <c r="M95" i="1"/>
  <c r="M16" i="1"/>
  <c r="M144" i="17" s="1"/>
  <c r="M143" i="17" s="1"/>
  <c r="M194" i="17" s="1"/>
  <c r="P133" i="30"/>
  <c r="P127" i="30" l="1"/>
  <c r="M143" i="28"/>
  <c r="M142" i="28" s="1"/>
  <c r="M143" i="29"/>
  <c r="M142" i="29" s="1"/>
  <c r="M193" i="29" s="1"/>
  <c r="P215" i="29"/>
  <c r="P218" i="28"/>
  <c r="P218" i="29"/>
  <c r="P221" i="28"/>
  <c r="P221" i="29"/>
  <c r="P215" i="28"/>
  <c r="P212" i="17"/>
  <c r="P218" i="17"/>
  <c r="P215" i="17"/>
  <c r="Q130" i="30"/>
  <c r="N16" i="1"/>
  <c r="N144" i="17" s="1"/>
  <c r="N143" i="17" s="1"/>
  <c r="N194" i="17" s="1"/>
  <c r="O95" i="1"/>
  <c r="N95" i="1"/>
  <c r="N37" i="1"/>
  <c r="N113" i="1"/>
  <c r="Q133" i="30"/>
  <c r="O37" i="1"/>
  <c r="O113" i="1"/>
  <c r="Q127" i="30" l="1"/>
  <c r="M193" i="28"/>
  <c r="Q215" i="29"/>
  <c r="Q221" i="28"/>
  <c r="Q221" i="29"/>
  <c r="N143" i="28"/>
  <c r="N142" i="28" s="1"/>
  <c r="N193" i="28" s="1"/>
  <c r="N143" i="29"/>
  <c r="N142" i="29" s="1"/>
  <c r="N193" i="29" s="1"/>
  <c r="Q218" i="28"/>
  <c r="Q218" i="29"/>
  <c r="Q215" i="28"/>
  <c r="Q218" i="17"/>
  <c r="Q215" i="17"/>
  <c r="Q212" i="17"/>
  <c r="R130" i="30"/>
  <c r="O16" i="1"/>
  <c r="O144" i="17" s="1"/>
  <c r="O143" i="17" s="1"/>
  <c r="O194" i="17" s="1"/>
  <c r="P95" i="1"/>
  <c r="R133" i="30"/>
  <c r="P37" i="1"/>
  <c r="P113" i="1"/>
  <c r="R127" i="30" l="1"/>
  <c r="O143" i="28"/>
  <c r="O142" i="28" s="1"/>
  <c r="O143" i="29"/>
  <c r="O142" i="29" s="1"/>
  <c r="O193" i="29" s="1"/>
  <c r="R221" i="28"/>
  <c r="R221" i="29"/>
  <c r="R215" i="29"/>
  <c r="R218" i="28"/>
  <c r="R218" i="29"/>
  <c r="R215" i="28"/>
  <c r="R212" i="17"/>
  <c r="R215" i="17"/>
  <c r="R218" i="17"/>
  <c r="S130" i="30"/>
  <c r="P16" i="1"/>
  <c r="P144" i="17" s="1"/>
  <c r="P143" i="17" s="1"/>
  <c r="P194" i="17" s="1"/>
  <c r="Q95" i="1"/>
  <c r="S133" i="30"/>
  <c r="Q37" i="1"/>
  <c r="Q113" i="1"/>
  <c r="S127" i="30" l="1"/>
  <c r="O193" i="28"/>
  <c r="P143" i="28"/>
  <c r="P142" i="28" s="1"/>
  <c r="P193" i="28" s="1"/>
  <c r="P143" i="29"/>
  <c r="P142" i="29" s="1"/>
  <c r="P193" i="29" s="1"/>
  <c r="S215" i="29"/>
  <c r="S218" i="28"/>
  <c r="S218" i="29"/>
  <c r="S221" i="28"/>
  <c r="S221" i="29"/>
  <c r="S215" i="28"/>
  <c r="S212" i="17"/>
  <c r="S218" i="17"/>
  <c r="S215" i="17"/>
  <c r="T130" i="30"/>
  <c r="Q16" i="1"/>
  <c r="Q144" i="17" s="1"/>
  <c r="Q143" i="17" s="1"/>
  <c r="Q194" i="17" s="1"/>
  <c r="R95" i="1"/>
  <c r="T133" i="30"/>
  <c r="R37" i="1"/>
  <c r="R113" i="1"/>
  <c r="T127" i="30" l="1"/>
  <c r="T221" i="28"/>
  <c r="T221" i="29"/>
  <c r="T215" i="29"/>
  <c r="Q143" i="28"/>
  <c r="Q142" i="28" s="1"/>
  <c r="Q193" i="28" s="1"/>
  <c r="Q143" i="29"/>
  <c r="Q142" i="29" s="1"/>
  <c r="Q193" i="29" s="1"/>
  <c r="T218" i="28"/>
  <c r="T218" i="29"/>
  <c r="T215" i="28"/>
  <c r="U130" i="30"/>
  <c r="T215" i="17"/>
  <c r="U133" i="30"/>
  <c r="T218" i="17"/>
  <c r="T212" i="17"/>
  <c r="R16" i="1"/>
  <c r="R144" i="17" s="1"/>
  <c r="R143" i="17" s="1"/>
  <c r="R194" i="17" s="1"/>
  <c r="S95" i="1"/>
  <c r="S37" i="1"/>
  <c r="S113" i="1"/>
  <c r="D131" i="30" l="1"/>
  <c r="D130" i="30"/>
  <c r="D133" i="30"/>
  <c r="D134" i="30"/>
  <c r="U127" i="30"/>
  <c r="U218" i="28"/>
  <c r="D218" i="28" s="1"/>
  <c r="U218" i="29"/>
  <c r="R143" i="28"/>
  <c r="R142" i="28" s="1"/>
  <c r="R193" i="28" s="1"/>
  <c r="R143" i="29"/>
  <c r="R142" i="29" s="1"/>
  <c r="R193" i="29" s="1"/>
  <c r="U215" i="29"/>
  <c r="U221" i="28"/>
  <c r="D221" i="28" s="1"/>
  <c r="U221" i="29"/>
  <c r="U215" i="28"/>
  <c r="U212" i="17"/>
  <c r="U218" i="17"/>
  <c r="U215" i="17"/>
  <c r="S16" i="1"/>
  <c r="S144" i="17" s="1"/>
  <c r="S143" i="17" s="1"/>
  <c r="S194" i="17" s="1"/>
  <c r="I124" i="14" l="1"/>
  <c r="I125" i="14"/>
  <c r="D128" i="30"/>
  <c r="D127" i="30"/>
  <c r="D222" i="28"/>
  <c r="D219" i="28"/>
  <c r="S143" i="28"/>
  <c r="S142" i="28" s="1"/>
  <c r="S193" i="28" s="1"/>
  <c r="S143" i="29"/>
  <c r="S142" i="29" s="1"/>
  <c r="S193" i="29" s="1"/>
  <c r="D216" i="28"/>
  <c r="D215" i="28"/>
  <c r="T16" i="1"/>
  <c r="T144" i="17" s="1"/>
  <c r="T143" i="17" s="1"/>
  <c r="T194" i="17" s="1"/>
  <c r="K123" i="14" l="1"/>
  <c r="K125" i="14"/>
  <c r="I123" i="14"/>
  <c r="K124" i="14"/>
  <c r="T143" i="28"/>
  <c r="T142" i="28" s="1"/>
  <c r="T193" i="28" s="1"/>
  <c r="T143" i="29"/>
  <c r="T142" i="29" s="1"/>
  <c r="T193" i="29" s="1"/>
  <c r="U16" i="1"/>
  <c r="D193" i="29" l="1"/>
  <c r="E191" i="1"/>
  <c r="D110" i="17" l="1"/>
  <c r="D115" i="17" l="1"/>
  <c r="F133" i="29" l="1"/>
  <c r="F133" i="28"/>
  <c r="F134" i="17"/>
  <c r="F195" i="17" l="1"/>
  <c r="F133" i="17"/>
  <c r="E72" i="17"/>
  <c r="E103" i="17"/>
  <c r="E16" i="17"/>
  <c r="E15" i="17" s="1"/>
  <c r="F132" i="28"/>
  <c r="G133" i="29"/>
  <c r="G133" i="28"/>
  <c r="G134" i="17"/>
  <c r="E95" i="17"/>
  <c r="E99" i="17"/>
  <c r="G195" i="17" l="1"/>
  <c r="G133" i="17"/>
  <c r="E107" i="17"/>
  <c r="E71" i="17"/>
  <c r="E13" i="17"/>
  <c r="E51" i="17"/>
  <c r="E82" i="17"/>
  <c r="E62" i="17"/>
  <c r="F194" i="28"/>
  <c r="H133" i="29"/>
  <c r="H133" i="28"/>
  <c r="H134" i="17"/>
  <c r="F132" i="29"/>
  <c r="F194" i="29"/>
  <c r="E25" i="17"/>
  <c r="E24" i="17" s="1"/>
  <c r="E91" i="17" l="1"/>
  <c r="E178" i="17" s="1"/>
  <c r="H133" i="17"/>
  <c r="H195" i="17"/>
  <c r="E12" i="17"/>
  <c r="E11" i="17" s="1"/>
  <c r="E50" i="17"/>
  <c r="F210" i="17" s="1"/>
  <c r="F219" i="17"/>
  <c r="E81" i="17"/>
  <c r="F216" i="17" s="1"/>
  <c r="E61" i="17"/>
  <c r="F50" i="17"/>
  <c r="F107" i="17"/>
  <c r="F13" i="17"/>
  <c r="F81" i="17"/>
  <c r="F71" i="17"/>
  <c r="G132" i="29"/>
  <c r="G194" i="29"/>
  <c r="I133" i="29"/>
  <c r="I133" i="28"/>
  <c r="I134" i="17"/>
  <c r="G132" i="28"/>
  <c r="G194" i="28"/>
  <c r="F91" i="17" l="1"/>
  <c r="F178" i="17" s="1"/>
  <c r="I195" i="17"/>
  <c r="I133" i="17"/>
  <c r="F213" i="17"/>
  <c r="F61" i="17"/>
  <c r="F12" i="17"/>
  <c r="G216" i="17"/>
  <c r="E43" i="17"/>
  <c r="E177" i="17" s="1"/>
  <c r="G219" i="17"/>
  <c r="F43" i="17"/>
  <c r="F177" i="17" s="1"/>
  <c r="G210" i="17"/>
  <c r="G50" i="17"/>
  <c r="G107" i="17"/>
  <c r="G71" i="17"/>
  <c r="G81" i="17"/>
  <c r="G13" i="17"/>
  <c r="I132" i="29"/>
  <c r="I194" i="28"/>
  <c r="J133" i="29"/>
  <c r="J133" i="28"/>
  <c r="J134" i="17"/>
  <c r="H132" i="28"/>
  <c r="H194" i="28"/>
  <c r="H132" i="29"/>
  <c r="H194" i="29"/>
  <c r="F11" i="17" l="1"/>
  <c r="F10" i="17" s="1"/>
  <c r="F137" i="17" s="1"/>
  <c r="F196" i="17" s="1"/>
  <c r="G91" i="17"/>
  <c r="G178" i="17" s="1"/>
  <c r="E10" i="17"/>
  <c r="E137" i="17" s="1"/>
  <c r="E196" i="17" s="1"/>
  <c r="J195" i="17"/>
  <c r="J133" i="17"/>
  <c r="G213" i="17"/>
  <c r="G61" i="17"/>
  <c r="G12" i="17"/>
  <c r="G11" i="17" s="1"/>
  <c r="H219" i="17"/>
  <c r="H216" i="17"/>
  <c r="H210" i="17"/>
  <c r="G43" i="17"/>
  <c r="G177" i="17" s="1"/>
  <c r="H50" i="17"/>
  <c r="H107" i="17"/>
  <c r="H13" i="17"/>
  <c r="H71" i="17"/>
  <c r="H81" i="17"/>
  <c r="I194" i="29"/>
  <c r="I132" i="28"/>
  <c r="K133" i="29"/>
  <c r="K133" i="28"/>
  <c r="K134" i="17"/>
  <c r="T127" i="28"/>
  <c r="R127" i="28"/>
  <c r="S127" i="28"/>
  <c r="Q127" i="28"/>
  <c r="H91" i="17" l="1"/>
  <c r="H178" i="17" s="1"/>
  <c r="E163" i="17"/>
  <c r="E172" i="17" s="1"/>
  <c r="E136" i="17"/>
  <c r="E142" i="17" s="1"/>
  <c r="G10" i="17"/>
  <c r="G137" i="17" s="1"/>
  <c r="G196" i="17" s="1"/>
  <c r="K195" i="17"/>
  <c r="K133" i="17"/>
  <c r="F197" i="17"/>
  <c r="F136" i="17"/>
  <c r="F142" i="17" s="1"/>
  <c r="F145" i="17" s="1"/>
  <c r="F163" i="17"/>
  <c r="H213" i="17"/>
  <c r="E197" i="17"/>
  <c r="F162" i="28"/>
  <c r="F195" i="28"/>
  <c r="F196" i="28" s="1"/>
  <c r="F135" i="28"/>
  <c r="F141" i="28" s="1"/>
  <c r="F144" i="28" s="1"/>
  <c r="H61" i="17"/>
  <c r="I216" i="17"/>
  <c r="I219" i="17"/>
  <c r="H12" i="17"/>
  <c r="H11" i="17" s="1"/>
  <c r="H43" i="17"/>
  <c r="H177" i="17" s="1"/>
  <c r="I210" i="17"/>
  <c r="I50" i="17"/>
  <c r="I107" i="17"/>
  <c r="I81" i="17"/>
  <c r="I71" i="17"/>
  <c r="I13" i="17"/>
  <c r="K132" i="28"/>
  <c r="K132" i="29"/>
  <c r="J132" i="28"/>
  <c r="J194" i="28"/>
  <c r="L133" i="29"/>
  <c r="L133" i="28"/>
  <c r="L134" i="17"/>
  <c r="J132" i="29"/>
  <c r="J194" i="29"/>
  <c r="E195" i="28"/>
  <c r="T155" i="28"/>
  <c r="S155" i="28"/>
  <c r="E162" i="28"/>
  <c r="E171" i="28" s="1"/>
  <c r="I91" i="17" l="1"/>
  <c r="I178" i="17" s="1"/>
  <c r="E161" i="17"/>
  <c r="E145" i="17"/>
  <c r="G163" i="17"/>
  <c r="G172" i="17" s="1"/>
  <c r="G136" i="17"/>
  <c r="G142" i="17" s="1"/>
  <c r="G145" i="17" s="1"/>
  <c r="G197" i="17"/>
  <c r="H10" i="17"/>
  <c r="H137" i="17" s="1"/>
  <c r="H196" i="17" s="1"/>
  <c r="E170" i="17"/>
  <c r="E180" i="17"/>
  <c r="L195" i="17"/>
  <c r="L133" i="17"/>
  <c r="I213" i="17"/>
  <c r="F172" i="17"/>
  <c r="F161" i="17"/>
  <c r="F160" i="28"/>
  <c r="F171" i="28"/>
  <c r="I61" i="17"/>
  <c r="J219" i="17"/>
  <c r="J216" i="17"/>
  <c r="G195" i="28"/>
  <c r="G196" i="28" s="1"/>
  <c r="G162" i="28"/>
  <c r="G135" i="28"/>
  <c r="G141" i="28" s="1"/>
  <c r="G144" i="28" s="1"/>
  <c r="J50" i="17"/>
  <c r="J107" i="17"/>
  <c r="J81" i="17"/>
  <c r="J71" i="17"/>
  <c r="J13" i="17"/>
  <c r="I12" i="17"/>
  <c r="I11" i="17" s="1"/>
  <c r="I43" i="17"/>
  <c r="I177" i="17" s="1"/>
  <c r="J210" i="17"/>
  <c r="K194" i="29"/>
  <c r="K194" i="28"/>
  <c r="M133" i="29"/>
  <c r="M133" i="28"/>
  <c r="M134" i="17"/>
  <c r="E196" i="28"/>
  <c r="J91" i="17" l="1"/>
  <c r="J178" i="17" s="1"/>
  <c r="G161" i="17"/>
  <c r="H136" i="17"/>
  <c r="H142" i="17" s="1"/>
  <c r="H145" i="17" s="1"/>
  <c r="H197" i="17"/>
  <c r="H163" i="17"/>
  <c r="H161" i="17" s="1"/>
  <c r="I10" i="17"/>
  <c r="I137" i="17" s="1"/>
  <c r="I196" i="17" s="1"/>
  <c r="F170" i="17"/>
  <c r="F180" i="17"/>
  <c r="G170" i="17"/>
  <c r="G180" i="17"/>
  <c r="M195" i="17"/>
  <c r="M133" i="17"/>
  <c r="J213" i="17"/>
  <c r="F179" i="28"/>
  <c r="F169" i="28"/>
  <c r="J61" i="17"/>
  <c r="J12" i="17"/>
  <c r="J11" i="17" s="1"/>
  <c r="K219" i="17"/>
  <c r="K216" i="17"/>
  <c r="K50" i="17"/>
  <c r="K107" i="17"/>
  <c r="K81" i="17"/>
  <c r="K71" i="17"/>
  <c r="K13" i="17"/>
  <c r="K210" i="17"/>
  <c r="J43" i="17"/>
  <c r="J177" i="17" s="1"/>
  <c r="H195" i="28"/>
  <c r="H196" i="28" s="1"/>
  <c r="H162" i="28"/>
  <c r="H135" i="28"/>
  <c r="H141" i="28" s="1"/>
  <c r="H144" i="28" s="1"/>
  <c r="G171" i="28"/>
  <c r="G160" i="28"/>
  <c r="M132" i="28"/>
  <c r="M132" i="29"/>
  <c r="L132" i="28"/>
  <c r="L194" i="28"/>
  <c r="N133" i="29"/>
  <c r="N133" i="28"/>
  <c r="N134" i="17"/>
  <c r="L132" i="29"/>
  <c r="L194" i="29"/>
  <c r="K91" i="17" l="1"/>
  <c r="K178" i="17" s="1"/>
  <c r="H172" i="17"/>
  <c r="H180" i="17" s="1"/>
  <c r="I197" i="17"/>
  <c r="I163" i="17"/>
  <c r="I172" i="17" s="1"/>
  <c r="I136" i="17"/>
  <c r="I142" i="17" s="1"/>
  <c r="J10" i="17"/>
  <c r="J137" i="17" s="1"/>
  <c r="J196" i="17" s="1"/>
  <c r="K213" i="17"/>
  <c r="N195" i="17"/>
  <c r="N133" i="17"/>
  <c r="K61" i="17"/>
  <c r="K12" i="17"/>
  <c r="K11" i="17" s="1"/>
  <c r="L216" i="17"/>
  <c r="L219" i="17"/>
  <c r="G179" i="28"/>
  <c r="G169" i="28"/>
  <c r="I162" i="28"/>
  <c r="I135" i="28"/>
  <c r="I141" i="28" s="1"/>
  <c r="I144" i="28" s="1"/>
  <c r="I195" i="28"/>
  <c r="I196" i="28" s="1"/>
  <c r="K43" i="17"/>
  <c r="K177" i="17" s="1"/>
  <c r="L210" i="17"/>
  <c r="L50" i="17"/>
  <c r="L107" i="17"/>
  <c r="L71" i="17"/>
  <c r="L81" i="17"/>
  <c r="L13" i="17"/>
  <c r="H171" i="28"/>
  <c r="H160" i="28"/>
  <c r="N194" i="29"/>
  <c r="M194" i="28"/>
  <c r="M194" i="29"/>
  <c r="N132" i="28"/>
  <c r="O133" i="29"/>
  <c r="O133" i="28"/>
  <c r="O134" i="17"/>
  <c r="L91" i="17" l="1"/>
  <c r="L178" i="17" s="1"/>
  <c r="H170" i="17"/>
  <c r="I161" i="17"/>
  <c r="I145" i="17"/>
  <c r="J136" i="17"/>
  <c r="J142" i="17" s="1"/>
  <c r="J145" i="17" s="1"/>
  <c r="J163" i="17"/>
  <c r="J172" i="17" s="1"/>
  <c r="K10" i="17"/>
  <c r="K137" i="17" s="1"/>
  <c r="K196" i="17" s="1"/>
  <c r="O195" i="17"/>
  <c r="O133" i="17"/>
  <c r="L213" i="17"/>
  <c r="J197" i="17"/>
  <c r="I180" i="17"/>
  <c r="I170" i="17"/>
  <c r="L61" i="17"/>
  <c r="L12" i="17"/>
  <c r="L11" i="17" s="1"/>
  <c r="M219" i="17"/>
  <c r="M216" i="17"/>
  <c r="I160" i="28"/>
  <c r="I171" i="28"/>
  <c r="H179" i="28"/>
  <c r="H169" i="28"/>
  <c r="L43" i="17"/>
  <c r="L177" i="17" s="1"/>
  <c r="M210" i="17"/>
  <c r="J135" i="28"/>
  <c r="J141" i="28" s="1"/>
  <c r="J144" i="28" s="1"/>
  <c r="J195" i="28"/>
  <c r="J162" i="28"/>
  <c r="M50" i="17"/>
  <c r="M107" i="17"/>
  <c r="M71" i="17"/>
  <c r="M81" i="17"/>
  <c r="M13" i="17"/>
  <c r="N132" i="29"/>
  <c r="N194" i="28"/>
  <c r="P133" i="29"/>
  <c r="P133" i="28"/>
  <c r="P134" i="17"/>
  <c r="M91" i="17" l="1"/>
  <c r="M178" i="17" s="1"/>
  <c r="J161" i="17"/>
  <c r="K136" i="17"/>
  <c r="K142" i="17" s="1"/>
  <c r="K145" i="17" s="1"/>
  <c r="K163" i="17"/>
  <c r="K172" i="17" s="1"/>
  <c r="K197" i="17"/>
  <c r="L10" i="17"/>
  <c r="L137" i="17" s="1"/>
  <c r="M213" i="17"/>
  <c r="J170" i="17"/>
  <c r="J180" i="17"/>
  <c r="P133" i="17"/>
  <c r="P195" i="17"/>
  <c r="M61" i="17"/>
  <c r="N216" i="17"/>
  <c r="N219" i="17"/>
  <c r="L162" i="28"/>
  <c r="M12" i="17"/>
  <c r="N210" i="17"/>
  <c r="M43" i="17"/>
  <c r="M177" i="17" s="1"/>
  <c r="J196" i="28"/>
  <c r="N107" i="17"/>
  <c r="N13" i="17"/>
  <c r="J160" i="28"/>
  <c r="J171" i="28"/>
  <c r="K195" i="28"/>
  <c r="K196" i="28" s="1"/>
  <c r="K162" i="28"/>
  <c r="K135" i="28"/>
  <c r="K141" i="28" s="1"/>
  <c r="K144" i="28" s="1"/>
  <c r="I179" i="28"/>
  <c r="I169" i="28"/>
  <c r="Q133" i="29"/>
  <c r="Q133" i="28"/>
  <c r="Q134" i="17"/>
  <c r="O132" i="28"/>
  <c r="O194" i="28"/>
  <c r="O132" i="29"/>
  <c r="O194" i="29"/>
  <c r="M11" i="17" l="1"/>
  <c r="M10" i="17" s="1"/>
  <c r="M137" i="17" s="1"/>
  <c r="M196" i="17" s="1"/>
  <c r="L136" i="17"/>
  <c r="L142" i="17" s="1"/>
  <c r="L145" i="17" s="1"/>
  <c r="L196" i="17"/>
  <c r="L197" i="17" s="1"/>
  <c r="K161" i="17"/>
  <c r="L163" i="17"/>
  <c r="L161" i="17" s="1"/>
  <c r="N213" i="17"/>
  <c r="K180" i="17"/>
  <c r="K170" i="17"/>
  <c r="Q195" i="17"/>
  <c r="Q133" i="17"/>
  <c r="L135" i="28"/>
  <c r="L141" i="28" s="1"/>
  <c r="L144" i="28" s="1"/>
  <c r="L195" i="28"/>
  <c r="L196" i="28" s="1"/>
  <c r="L171" i="28"/>
  <c r="L160" i="28"/>
  <c r="K160" i="28"/>
  <c r="K171" i="28"/>
  <c r="J169" i="28"/>
  <c r="J179" i="28"/>
  <c r="O107" i="17"/>
  <c r="O13" i="17"/>
  <c r="Q132" i="28"/>
  <c r="Q132" i="29"/>
  <c r="R133" i="29"/>
  <c r="R133" i="28"/>
  <c r="R134" i="17"/>
  <c r="P132" i="29"/>
  <c r="P194" i="29"/>
  <c r="P132" i="28"/>
  <c r="P194" i="28"/>
  <c r="L172" i="17" l="1"/>
  <c r="L180" i="17" s="1"/>
  <c r="R195" i="17"/>
  <c r="R133" i="17"/>
  <c r="M163" i="17"/>
  <c r="M136" i="17"/>
  <c r="M142" i="17" s="1"/>
  <c r="M135" i="28"/>
  <c r="M141" i="28" s="1"/>
  <c r="M144" i="28" s="1"/>
  <c r="M162" i="28"/>
  <c r="M160" i="28" s="1"/>
  <c r="M195" i="28"/>
  <c r="M196" i="28" s="1"/>
  <c r="P107" i="17"/>
  <c r="P13" i="17"/>
  <c r="K169" i="28"/>
  <c r="K179" i="28"/>
  <c r="L179" i="28"/>
  <c r="L169" i="28"/>
  <c r="Q194" i="28"/>
  <c r="Q194" i="29"/>
  <c r="S133" i="29"/>
  <c r="S133" i="28"/>
  <c r="S134" i="17"/>
  <c r="L170" i="17" l="1"/>
  <c r="M145" i="17"/>
  <c r="M171" i="28"/>
  <c r="M169" i="28" s="1"/>
  <c r="S195" i="17"/>
  <c r="S133" i="17"/>
  <c r="M172" i="17"/>
  <c r="M161" i="17"/>
  <c r="M197" i="17"/>
  <c r="N162" i="28"/>
  <c r="Q107" i="17"/>
  <c r="Q13" i="17"/>
  <c r="S194" i="29"/>
  <c r="T133" i="29"/>
  <c r="T133" i="28"/>
  <c r="T134" i="17"/>
  <c r="R132" i="28"/>
  <c r="R194" i="28"/>
  <c r="R132" i="29"/>
  <c r="R194" i="29"/>
  <c r="M179" i="28" l="1"/>
  <c r="T195" i="17"/>
  <c r="M170" i="17"/>
  <c r="M180" i="17"/>
  <c r="N171" i="28"/>
  <c r="R107" i="17"/>
  <c r="R13" i="17"/>
  <c r="O162" i="28"/>
  <c r="S132" i="29"/>
  <c r="S132" i="28"/>
  <c r="S194" i="28"/>
  <c r="D195" i="17" l="1"/>
  <c r="P162" i="28"/>
  <c r="O171" i="28"/>
  <c r="T107" i="17"/>
  <c r="T13" i="17"/>
  <c r="S107" i="17"/>
  <c r="S13" i="17"/>
  <c r="T194" i="28"/>
  <c r="T194" i="29"/>
  <c r="P171" i="28" l="1"/>
  <c r="Q162" i="28"/>
  <c r="D194" i="28"/>
  <c r="D194" i="29"/>
  <c r="D177" i="28" l="1"/>
  <c r="Q171" i="28"/>
  <c r="R162" i="28"/>
  <c r="Q127" i="17" l="1"/>
  <c r="Q128" i="17" s="1"/>
  <c r="R127" i="17"/>
  <c r="R128" i="17" s="1"/>
  <c r="H134" i="14"/>
  <c r="D176" i="28"/>
  <c r="T162" i="28"/>
  <c r="T171" i="28" s="1"/>
  <c r="H130" i="14"/>
  <c r="R171" i="28"/>
  <c r="S162" i="28"/>
  <c r="Q155" i="17" l="1"/>
  <c r="Q156" i="17" s="1"/>
  <c r="R155" i="17"/>
  <c r="R156" i="17" s="1"/>
  <c r="Q154" i="28"/>
  <c r="Q155" i="28" s="1"/>
  <c r="R154" i="28"/>
  <c r="R155" i="28" s="1"/>
  <c r="H133" i="14"/>
  <c r="S171" i="28"/>
  <c r="D171" i="28" s="1"/>
  <c r="E66" i="14" l="1"/>
  <c r="D194" i="17" l="1"/>
  <c r="E111" i="28"/>
  <c r="D111" i="28" s="1"/>
  <c r="E193" i="28"/>
  <c r="D193" i="28" s="1"/>
  <c r="D200" i="28"/>
  <c r="E138" i="28" l="1"/>
  <c r="E137" i="28" s="1"/>
  <c r="E135" i="28" s="1"/>
  <c r="E141" i="28" s="1"/>
  <c r="E110" i="28"/>
  <c r="E170" i="28"/>
  <c r="H129" i="14" l="1"/>
  <c r="H127" i="14" s="1"/>
  <c r="D127" i="14"/>
  <c r="E179" i="28"/>
  <c r="E169" i="28"/>
  <c r="D170" i="28"/>
  <c r="E161" i="28"/>
  <c r="E160" i="28" s="1"/>
  <c r="D110" i="28"/>
  <c r="E144" i="28"/>
  <c r="E47" i="29" l="1"/>
  <c r="E49" i="29"/>
  <c r="E59" i="29" s="1"/>
  <c r="E48" i="29"/>
  <c r="O107" i="29"/>
  <c r="H107" i="29"/>
  <c r="P99" i="29"/>
  <c r="P95" i="29"/>
  <c r="L99" i="29"/>
  <c r="L103" i="29"/>
  <c r="L95" i="29"/>
  <c r="H103" i="29"/>
  <c r="I107" i="29"/>
  <c r="S107" i="29"/>
  <c r="G103" i="29"/>
  <c r="F107" i="29"/>
  <c r="T103" i="29"/>
  <c r="T95" i="29"/>
  <c r="G107" i="29"/>
  <c r="P107" i="29"/>
  <c r="K107" i="29"/>
  <c r="S99" i="29"/>
  <c r="S103" i="29"/>
  <c r="S95" i="29"/>
  <c r="K99" i="29"/>
  <c r="M107" i="29"/>
  <c r="Q99" i="29"/>
  <c r="Q103" i="29"/>
  <c r="Q95" i="29"/>
  <c r="J107" i="29"/>
  <c r="N95" i="29"/>
  <c r="M103" i="29"/>
  <c r="M99" i="29"/>
  <c r="M95" i="29"/>
  <c r="R103" i="29"/>
  <c r="N103" i="29"/>
  <c r="N99" i="29"/>
  <c r="J99" i="29"/>
  <c r="F103" i="29"/>
  <c r="F95" i="29"/>
  <c r="E56" i="29" l="1"/>
  <c r="E57" i="29"/>
  <c r="E58" i="29"/>
  <c r="E53" i="29"/>
  <c r="E55" i="29"/>
  <c r="E54" i="29"/>
  <c r="E52" i="29"/>
  <c r="M91" i="29"/>
  <c r="M177" i="29" s="1"/>
  <c r="S91" i="29"/>
  <c r="S177" i="29" s="1"/>
  <c r="E103" i="29"/>
  <c r="E13" i="29"/>
  <c r="E107" i="29"/>
  <c r="E95" i="29"/>
  <c r="E99" i="29"/>
  <c r="F99" i="29"/>
  <c r="R95" i="29"/>
  <c r="K95" i="29"/>
  <c r="G95" i="29"/>
  <c r="O95" i="29"/>
  <c r="H95" i="29"/>
  <c r="I95" i="29"/>
  <c r="I103" i="29"/>
  <c r="O99" i="29"/>
  <c r="H99" i="29"/>
  <c r="I99" i="29"/>
  <c r="J103" i="29"/>
  <c r="R99" i="29"/>
  <c r="R107" i="29"/>
  <c r="Q107" i="29"/>
  <c r="Q91" i="29" s="1"/>
  <c r="N107" i="29"/>
  <c r="J95" i="29"/>
  <c r="K103" i="29"/>
  <c r="T107" i="29"/>
  <c r="L107" i="29"/>
  <c r="T99" i="29"/>
  <c r="G99" i="29"/>
  <c r="O103" i="29"/>
  <c r="P103" i="29"/>
  <c r="P91" i="29" s="1"/>
  <c r="T91" i="29" l="1"/>
  <c r="T177" i="29" s="1"/>
  <c r="N91" i="29"/>
  <c r="N177" i="29" s="1"/>
  <c r="L91" i="29"/>
  <c r="L177" i="29" s="1"/>
  <c r="P177" i="29"/>
  <c r="J91" i="29"/>
  <c r="J177" i="29" s="1"/>
  <c r="I91" i="29"/>
  <c r="I177" i="29" s="1"/>
  <c r="K91" i="29"/>
  <c r="K177" i="29" s="1"/>
  <c r="H91" i="29"/>
  <c r="H177" i="29" s="1"/>
  <c r="O91" i="29"/>
  <c r="O177" i="29" s="1"/>
  <c r="G91" i="29"/>
  <c r="G177" i="29" s="1"/>
  <c r="R91" i="29"/>
  <c r="R177" i="29" s="1"/>
  <c r="F91" i="29"/>
  <c r="F177" i="29" s="1"/>
  <c r="E91" i="29"/>
  <c r="E177" i="29" s="1"/>
  <c r="Q177" i="29"/>
  <c r="U219" i="29"/>
  <c r="N216" i="29"/>
  <c r="U216" i="29"/>
  <c r="E72" i="29"/>
  <c r="E71" i="29" s="1"/>
  <c r="J16" i="29"/>
  <c r="J15" i="29" s="1"/>
  <c r="T16" i="29"/>
  <c r="T15" i="29" s="1"/>
  <c r="H16" i="29"/>
  <c r="H15" i="29" s="1"/>
  <c r="F16" i="29"/>
  <c r="F15" i="29" s="1"/>
  <c r="O16" i="29"/>
  <c r="O15" i="29" s="1"/>
  <c r="G16" i="29"/>
  <c r="G15" i="29" s="1"/>
  <c r="N222" i="29"/>
  <c r="K16" i="29"/>
  <c r="K15" i="29" s="1"/>
  <c r="L16" i="29"/>
  <c r="L15" i="29" s="1"/>
  <c r="N16" i="29"/>
  <c r="N15" i="29" s="1"/>
  <c r="M16" i="29"/>
  <c r="M15" i="29" s="1"/>
  <c r="P16" i="29"/>
  <c r="P15" i="29" s="1"/>
  <c r="E25" i="29"/>
  <c r="E24" i="29" s="1"/>
  <c r="S16" i="29"/>
  <c r="S15" i="29" s="1"/>
  <c r="E82" i="29"/>
  <c r="E81" i="29" s="1"/>
  <c r="Q16" i="29"/>
  <c r="Q15" i="29" s="1"/>
  <c r="I16" i="29"/>
  <c r="I15" i="29" s="1"/>
  <c r="R16" i="29"/>
  <c r="R15" i="29" s="1"/>
  <c r="E16" i="29"/>
  <c r="E15" i="29" s="1"/>
  <c r="E62" i="29"/>
  <c r="E61" i="29" s="1"/>
  <c r="D177" i="29" l="1"/>
  <c r="L134" i="14" s="1"/>
  <c r="T219" i="29"/>
  <c r="N219" i="29"/>
  <c r="S219" i="29"/>
  <c r="O219" i="29"/>
  <c r="H219" i="29"/>
  <c r="P219" i="29"/>
  <c r="L219" i="29"/>
  <c r="G219" i="29"/>
  <c r="M219" i="29"/>
  <c r="I219" i="29"/>
  <c r="R219" i="29"/>
  <c r="J219" i="29"/>
  <c r="Q219" i="29"/>
  <c r="K219" i="29"/>
  <c r="F219" i="29"/>
  <c r="J222" i="29"/>
  <c r="K222" i="29"/>
  <c r="R222" i="29"/>
  <c r="M222" i="29"/>
  <c r="P222" i="29"/>
  <c r="I222" i="29"/>
  <c r="Q222" i="29"/>
  <c r="S222" i="29"/>
  <c r="O222" i="29"/>
  <c r="H222" i="29"/>
  <c r="G222" i="29"/>
  <c r="T222" i="29"/>
  <c r="L222" i="29"/>
  <c r="U222" i="29"/>
  <c r="F222" i="29"/>
  <c r="R216" i="29"/>
  <c r="H216" i="29"/>
  <c r="K216" i="29"/>
  <c r="Q216" i="29"/>
  <c r="J216" i="29"/>
  <c r="O216" i="29"/>
  <c r="P216" i="29"/>
  <c r="I216" i="29"/>
  <c r="T216" i="29"/>
  <c r="L216" i="29"/>
  <c r="M216" i="29"/>
  <c r="G216" i="29"/>
  <c r="S216" i="29"/>
  <c r="F216" i="29"/>
  <c r="R51" i="29"/>
  <c r="R50" i="29" s="1"/>
  <c r="K12" i="29"/>
  <c r="G51" i="29"/>
  <c r="G50" i="29" s="1"/>
  <c r="J12" i="29"/>
  <c r="L12" i="29"/>
  <c r="F12" i="29"/>
  <c r="N12" i="29"/>
  <c r="M51" i="29"/>
  <c r="M50" i="29" s="1"/>
  <c r="G12" i="29"/>
  <c r="K51" i="29"/>
  <c r="K50" i="29" s="1"/>
  <c r="O12" i="29"/>
  <c r="H51" i="29"/>
  <c r="H50" i="29" s="1"/>
  <c r="Q51" i="29"/>
  <c r="Q50" i="29" s="1"/>
  <c r="S51" i="29"/>
  <c r="S50" i="29" s="1"/>
  <c r="Q12" i="29"/>
  <c r="L51" i="29"/>
  <c r="L50" i="29" s="1"/>
  <c r="F51" i="29"/>
  <c r="F50" i="29" s="1"/>
  <c r="P51" i="29"/>
  <c r="P50" i="29" s="1"/>
  <c r="E12" i="29"/>
  <c r="E51" i="29"/>
  <c r="E50" i="29" s="1"/>
  <c r="I51" i="29"/>
  <c r="I50" i="29" s="1"/>
  <c r="P12" i="29"/>
  <c r="S12" i="29"/>
  <c r="J51" i="29"/>
  <c r="J50" i="29" s="1"/>
  <c r="N51" i="29"/>
  <c r="N50" i="29" s="1"/>
  <c r="R12" i="29"/>
  <c r="I12" i="29"/>
  <c r="O51" i="29"/>
  <c r="O50" i="29" s="1"/>
  <c r="M12" i="29"/>
  <c r="T12" i="29"/>
  <c r="H12" i="29"/>
  <c r="T51" i="29"/>
  <c r="T50" i="29" s="1"/>
  <c r="I11" i="29" l="1"/>
  <c r="I10" i="29" s="1"/>
  <c r="I136" i="29" s="1"/>
  <c r="O11" i="29"/>
  <c r="O10" i="29" s="1"/>
  <c r="O136" i="29" s="1"/>
  <c r="T11" i="29"/>
  <c r="T10" i="29" s="1"/>
  <c r="T136" i="29" s="1"/>
  <c r="P11" i="29"/>
  <c r="P10" i="29" s="1"/>
  <c r="P136" i="29" s="1"/>
  <c r="F11" i="29"/>
  <c r="F10" i="29" s="1"/>
  <c r="F136" i="29" s="1"/>
  <c r="K11" i="29"/>
  <c r="K10" i="29" s="1"/>
  <c r="K136" i="29" s="1"/>
  <c r="H11" i="29"/>
  <c r="H10" i="29" s="1"/>
  <c r="H136" i="29" s="1"/>
  <c r="E11" i="29"/>
  <c r="E10" i="29" s="1"/>
  <c r="E136" i="29" s="1"/>
  <c r="N11" i="29"/>
  <c r="N10" i="29" s="1"/>
  <c r="N136" i="29" s="1"/>
  <c r="M11" i="29"/>
  <c r="M10" i="29" s="1"/>
  <c r="M136" i="29" s="1"/>
  <c r="G11" i="29"/>
  <c r="G10" i="29" s="1"/>
  <c r="G136" i="29" s="1"/>
  <c r="L11" i="29"/>
  <c r="L10" i="29" s="1"/>
  <c r="L136" i="29" s="1"/>
  <c r="S11" i="29"/>
  <c r="S10" i="29" s="1"/>
  <c r="S136" i="29" s="1"/>
  <c r="Q11" i="29"/>
  <c r="Q10" i="29" s="1"/>
  <c r="Q136" i="29" s="1"/>
  <c r="R11" i="29"/>
  <c r="R10" i="29" s="1"/>
  <c r="R136" i="29" s="1"/>
  <c r="J11" i="29"/>
  <c r="J10" i="29" s="1"/>
  <c r="J136" i="29" s="1"/>
  <c r="D219" i="29"/>
  <c r="O124" i="14" s="1"/>
  <c r="C218" i="29"/>
  <c r="L124" i="14" s="1"/>
  <c r="C219" i="29"/>
  <c r="N124" i="14" s="1"/>
  <c r="D218" i="29"/>
  <c r="M124" i="14" s="1"/>
  <c r="D222" i="29"/>
  <c r="O125" i="14" s="1"/>
  <c r="C221" i="29"/>
  <c r="L125" i="14" s="1"/>
  <c r="C222" i="29"/>
  <c r="N125" i="14" s="1"/>
  <c r="D221" i="29"/>
  <c r="M125" i="14" s="1"/>
  <c r="S43" i="29"/>
  <c r="S176" i="29" s="1"/>
  <c r="H213" i="29"/>
  <c r="F43" i="29"/>
  <c r="F176" i="29" s="1"/>
  <c r="L43" i="29"/>
  <c r="L176" i="29" s="1"/>
  <c r="R213" i="29"/>
  <c r="F213" i="29"/>
  <c r="S213" i="29"/>
  <c r="R43" i="29"/>
  <c r="I213" i="29"/>
  <c r="H43" i="29"/>
  <c r="U213" i="29"/>
  <c r="T43" i="29"/>
  <c r="T176" i="29" s="1"/>
  <c r="C215" i="29"/>
  <c r="L123" i="14" s="1"/>
  <c r="D216" i="29"/>
  <c r="O123" i="14" s="1"/>
  <c r="D215" i="29"/>
  <c r="M123" i="14" s="1"/>
  <c r="C216" i="29"/>
  <c r="N123" i="14" s="1"/>
  <c r="M43" i="29"/>
  <c r="M176" i="29" s="1"/>
  <c r="N213" i="29"/>
  <c r="K213" i="29"/>
  <c r="J43" i="29"/>
  <c r="L213" i="29"/>
  <c r="K43" i="29"/>
  <c r="P213" i="29"/>
  <c r="O43" i="29"/>
  <c r="O213" i="29"/>
  <c r="N43" i="29"/>
  <c r="N176" i="29" s="1"/>
  <c r="Q213" i="29"/>
  <c r="P43" i="29"/>
  <c r="P176" i="29" s="1"/>
  <c r="J213" i="29"/>
  <c r="I43" i="29"/>
  <c r="L130" i="14" l="1"/>
  <c r="Q126" i="29"/>
  <c r="Q127" i="29" s="1"/>
  <c r="R126" i="29"/>
  <c r="R127" i="29" s="1"/>
  <c r="I176" i="29"/>
  <c r="R176" i="29"/>
  <c r="K176" i="29"/>
  <c r="O176" i="29"/>
  <c r="H176" i="29"/>
  <c r="J176" i="29"/>
  <c r="G213" i="29"/>
  <c r="N162" i="29"/>
  <c r="M162" i="29"/>
  <c r="M160" i="29" s="1"/>
  <c r="M135" i="29"/>
  <c r="M141" i="29" s="1"/>
  <c r="M144" i="29" s="1"/>
  <c r="M195" i="29"/>
  <c r="M196" i="29" s="1"/>
  <c r="T162" i="29"/>
  <c r="T171" i="29" s="1"/>
  <c r="K195" i="29"/>
  <c r="K196" i="29" s="1"/>
  <c r="K162" i="29"/>
  <c r="K160" i="29" s="1"/>
  <c r="K135" i="29"/>
  <c r="K141" i="29" s="1"/>
  <c r="K144" i="29" s="1"/>
  <c r="O162" i="29"/>
  <c r="J135" i="29"/>
  <c r="J141" i="29" s="1"/>
  <c r="J144" i="29" s="1"/>
  <c r="J162" i="29"/>
  <c r="J160" i="29" s="1"/>
  <c r="J195" i="29"/>
  <c r="J196" i="29" s="1"/>
  <c r="L162" i="29"/>
  <c r="L195" i="29"/>
  <c r="L196" i="29" s="1"/>
  <c r="L135" i="29"/>
  <c r="L141" i="29" s="1"/>
  <c r="L144" i="29" s="1"/>
  <c r="P162" i="29"/>
  <c r="F195" i="29"/>
  <c r="F196" i="29" s="1"/>
  <c r="F162" i="29"/>
  <c r="F171" i="29" s="1"/>
  <c r="F169" i="29" s="1"/>
  <c r="F135" i="29"/>
  <c r="F141" i="29" s="1"/>
  <c r="F144" i="29" s="1"/>
  <c r="Q162" i="29"/>
  <c r="Q171" i="29" s="1"/>
  <c r="S162" i="29"/>
  <c r="S171" i="29" s="1"/>
  <c r="G162" i="29"/>
  <c r="G195" i="29"/>
  <c r="G196" i="29" s="1"/>
  <c r="G135" i="29"/>
  <c r="G141" i="29" s="1"/>
  <c r="G144" i="29" s="1"/>
  <c r="R162" i="29"/>
  <c r="E135" i="29"/>
  <c r="E141" i="29" s="1"/>
  <c r="E144" i="29" s="1"/>
  <c r="E162" i="29"/>
  <c r="E160" i="29" s="1"/>
  <c r="E195" i="29"/>
  <c r="E196" i="29" s="1"/>
  <c r="I135" i="29"/>
  <c r="I141" i="29" s="1"/>
  <c r="I144" i="29" s="1"/>
  <c r="I195" i="29"/>
  <c r="I196" i="29" s="1"/>
  <c r="I162" i="29"/>
  <c r="I160" i="29" s="1"/>
  <c r="H195" i="29"/>
  <c r="H196" i="29" s="1"/>
  <c r="H135" i="29"/>
  <c r="H141" i="29" s="1"/>
  <c r="H144" i="29" s="1"/>
  <c r="H162" i="29"/>
  <c r="H160" i="29" s="1"/>
  <c r="T213" i="29"/>
  <c r="M213" i="29"/>
  <c r="G43" i="29"/>
  <c r="Q43" i="29"/>
  <c r="E43" i="29"/>
  <c r="Q154" i="29" l="1"/>
  <c r="Q155" i="29" s="1"/>
  <c r="R154" i="29"/>
  <c r="R155" i="29" s="1"/>
  <c r="E176" i="29"/>
  <c r="G176" i="29"/>
  <c r="Q176" i="29"/>
  <c r="H171" i="29"/>
  <c r="H179" i="29" s="1"/>
  <c r="J171" i="29"/>
  <c r="J179" i="29" s="1"/>
  <c r="P171" i="29"/>
  <c r="K171" i="29"/>
  <c r="K169" i="29" s="1"/>
  <c r="D212" i="29"/>
  <c r="M122" i="14" s="1"/>
  <c r="E171" i="29"/>
  <c r="E169" i="29" s="1"/>
  <c r="C212" i="29"/>
  <c r="L122" i="14" s="1"/>
  <c r="M171" i="29"/>
  <c r="M179" i="29" s="1"/>
  <c r="R171" i="29"/>
  <c r="I171" i="29"/>
  <c r="I169" i="29" s="1"/>
  <c r="O171" i="29"/>
  <c r="F160" i="29"/>
  <c r="G160" i="29"/>
  <c r="G171" i="29"/>
  <c r="F179" i="29"/>
  <c r="L160" i="29"/>
  <c r="L171" i="29"/>
  <c r="N171" i="29"/>
  <c r="D213" i="29"/>
  <c r="O122" i="14" s="1"/>
  <c r="C213" i="29"/>
  <c r="N122" i="14" s="1"/>
  <c r="H169" i="29" l="1"/>
  <c r="M169" i="29"/>
  <c r="D176" i="29"/>
  <c r="L133" i="14" s="1"/>
  <c r="I179" i="29"/>
  <c r="K179" i="29"/>
  <c r="J169" i="29"/>
  <c r="E179" i="29"/>
  <c r="D171" i="29"/>
  <c r="G179" i="29"/>
  <c r="G169" i="29"/>
  <c r="L179" i="29"/>
  <c r="L169" i="29"/>
  <c r="C110" i="1" l="1"/>
  <c r="E60" i="30" l="1"/>
  <c r="E60" i="28"/>
  <c r="F60" i="30"/>
  <c r="F60" i="28"/>
  <c r="G60" i="28"/>
  <c r="G60" i="30"/>
  <c r="H60" i="28"/>
  <c r="H60" i="30"/>
  <c r="I60" i="30"/>
  <c r="I60" i="28"/>
  <c r="J60" i="28"/>
  <c r="J60" i="30"/>
  <c r="K60" i="28"/>
  <c r="K60" i="30"/>
  <c r="L60" i="30"/>
  <c r="L60" i="28"/>
  <c r="M60" i="30"/>
  <c r="M60" i="28"/>
  <c r="N60" i="30"/>
  <c r="N60" i="28"/>
  <c r="O60" i="28"/>
  <c r="O60" i="30"/>
  <c r="P60" i="30"/>
  <c r="P60" i="28"/>
  <c r="Q60" i="28"/>
  <c r="Q60" i="30"/>
  <c r="R60" i="30"/>
  <c r="R60" i="28"/>
  <c r="S60" i="30"/>
  <c r="S60" i="28"/>
  <c r="T60" i="30"/>
  <c r="T60" i="28"/>
  <c r="E60" i="17"/>
  <c r="F60" i="17"/>
  <c r="G60" i="17"/>
  <c r="I60" i="17"/>
  <c r="H60" i="17"/>
  <c r="J60" i="17"/>
  <c r="K60" i="17"/>
  <c r="L60" i="17"/>
  <c r="M60" i="17"/>
  <c r="M176" i="17" s="1"/>
  <c r="T60" i="29"/>
  <c r="M60" i="29"/>
  <c r="J60" i="29"/>
  <c r="R60" i="29"/>
  <c r="G60" i="29"/>
  <c r="K60" i="29"/>
  <c r="K175" i="29" s="1"/>
  <c r="N60" i="29"/>
  <c r="N175" i="29" s="1"/>
  <c r="F60" i="29"/>
  <c r="Q60" i="29"/>
  <c r="I60" i="29"/>
  <c r="O60" i="29"/>
  <c r="S60" i="29"/>
  <c r="L60" i="29"/>
  <c r="P60" i="29"/>
  <c r="H60" i="29"/>
  <c r="E60" i="29"/>
  <c r="E176" i="17" l="1"/>
  <c r="E175" i="17" s="1"/>
  <c r="F175" i="29"/>
  <c r="F181" i="29" s="1"/>
  <c r="L175" i="29"/>
  <c r="L174" i="29" s="1"/>
  <c r="P175" i="29"/>
  <c r="P181" i="29" s="1"/>
  <c r="I175" i="29"/>
  <c r="I174" i="29" s="1"/>
  <c r="E175" i="29"/>
  <c r="E174" i="29" s="1"/>
  <c r="T175" i="29"/>
  <c r="T181" i="29" s="1"/>
  <c r="O175" i="29"/>
  <c r="O174" i="29" s="1"/>
  <c r="K176" i="17"/>
  <c r="K183" i="17" s="1"/>
  <c r="G176" i="17"/>
  <c r="G175" i="17" s="1"/>
  <c r="Q175" i="29"/>
  <c r="Q174" i="29" s="1"/>
  <c r="G175" i="29"/>
  <c r="G174" i="29" s="1"/>
  <c r="S175" i="29"/>
  <c r="S174" i="29" s="1"/>
  <c r="R175" i="29"/>
  <c r="R182" i="29" s="1"/>
  <c r="L176" i="17"/>
  <c r="L175" i="17" s="1"/>
  <c r="I176" i="17"/>
  <c r="I175" i="17" s="1"/>
  <c r="M175" i="29"/>
  <c r="M174" i="29" s="1"/>
  <c r="F176" i="17"/>
  <c r="F183" i="17" s="1"/>
  <c r="E175" i="28"/>
  <c r="E174" i="28" s="1"/>
  <c r="T175" i="28"/>
  <c r="T174" i="28" s="1"/>
  <c r="R175" i="28"/>
  <c r="R182" i="28" s="1"/>
  <c r="P175" i="28"/>
  <c r="P182" i="28" s="1"/>
  <c r="L175" i="28"/>
  <c r="L174" i="28" s="1"/>
  <c r="F175" i="28"/>
  <c r="F174" i="28" s="1"/>
  <c r="Q175" i="28"/>
  <c r="Q174" i="28" s="1"/>
  <c r="O175" i="28"/>
  <c r="O181" i="28" s="1"/>
  <c r="K175" i="28"/>
  <c r="K182" i="28" s="1"/>
  <c r="N175" i="28"/>
  <c r="N174" i="28" s="1"/>
  <c r="H175" i="29"/>
  <c r="N174" i="29"/>
  <c r="N181" i="29"/>
  <c r="N182" i="29"/>
  <c r="J175" i="29"/>
  <c r="J175" i="28"/>
  <c r="H175" i="28"/>
  <c r="I182" i="29"/>
  <c r="I181" i="29"/>
  <c r="K174" i="29"/>
  <c r="K181" i="29"/>
  <c r="K182" i="29"/>
  <c r="M181" i="29"/>
  <c r="J176" i="17"/>
  <c r="S175" i="28"/>
  <c r="M175" i="28"/>
  <c r="I175" i="28"/>
  <c r="M175" i="17"/>
  <c r="M183" i="17"/>
  <c r="M182" i="17"/>
  <c r="H176" i="17"/>
  <c r="E182" i="17"/>
  <c r="E183" i="17"/>
  <c r="G175" i="28"/>
  <c r="F174" i="29" l="1"/>
  <c r="F182" i="29"/>
  <c r="F178" i="29" s="1"/>
  <c r="F185" i="29" s="1"/>
  <c r="M182" i="29"/>
  <c r="M178" i="29" s="1"/>
  <c r="M185" i="29" s="1"/>
  <c r="K181" i="28"/>
  <c r="K178" i="28" s="1"/>
  <c r="K185" i="28" s="1"/>
  <c r="Q181" i="29"/>
  <c r="K174" i="28"/>
  <c r="E182" i="28"/>
  <c r="E181" i="28"/>
  <c r="G181" i="29"/>
  <c r="G182" i="29"/>
  <c r="P174" i="29"/>
  <c r="T182" i="29"/>
  <c r="F181" i="28"/>
  <c r="T174" i="29"/>
  <c r="L181" i="29"/>
  <c r="S181" i="29"/>
  <c r="S182" i="29"/>
  <c r="R174" i="28"/>
  <c r="E181" i="29"/>
  <c r="E182" i="29"/>
  <c r="D175" i="29"/>
  <c r="L132" i="14" s="1"/>
  <c r="L131" i="14" s="1"/>
  <c r="R181" i="28"/>
  <c r="G183" i="17"/>
  <c r="Q182" i="28"/>
  <c r="L182" i="29"/>
  <c r="L182" i="17"/>
  <c r="G182" i="17"/>
  <c r="O182" i="29"/>
  <c r="Q181" i="28"/>
  <c r="L182" i="28"/>
  <c r="T182" i="28"/>
  <c r="L181" i="28"/>
  <c r="N181" i="28"/>
  <c r="P182" i="29"/>
  <c r="K175" i="17"/>
  <c r="F175" i="17"/>
  <c r="Q182" i="29"/>
  <c r="R174" i="29"/>
  <c r="O181" i="29"/>
  <c r="F182" i="17"/>
  <c r="F179" i="17" s="1"/>
  <c r="F186" i="17" s="1"/>
  <c r="T181" i="28"/>
  <c r="N182" i="28"/>
  <c r="K182" i="17"/>
  <c r="K179" i="17" s="1"/>
  <c r="K186" i="17" s="1"/>
  <c r="F182" i="28"/>
  <c r="P181" i="28"/>
  <c r="I182" i="17"/>
  <c r="L183" i="17"/>
  <c r="R181" i="29"/>
  <c r="I183" i="17"/>
  <c r="O174" i="28"/>
  <c r="O182" i="28"/>
  <c r="P174" i="28"/>
  <c r="M179" i="17"/>
  <c r="M186" i="17" s="1"/>
  <c r="K178" i="29"/>
  <c r="K185" i="29" s="1"/>
  <c r="G174" i="28"/>
  <c r="G182" i="28"/>
  <c r="G181" i="28"/>
  <c r="S181" i="28"/>
  <c r="S182" i="28"/>
  <c r="S174" i="28"/>
  <c r="J182" i="17"/>
  <c r="J183" i="17"/>
  <c r="J175" i="17"/>
  <c r="J174" i="28"/>
  <c r="J182" i="28"/>
  <c r="J181" i="28"/>
  <c r="H174" i="29"/>
  <c r="H181" i="29"/>
  <c r="H182" i="29"/>
  <c r="M182" i="28"/>
  <c r="M174" i="28"/>
  <c r="M181" i="28"/>
  <c r="H182" i="28"/>
  <c r="H174" i="28"/>
  <c r="H181" i="28"/>
  <c r="E179" i="17"/>
  <c r="E186" i="17" s="1"/>
  <c r="J182" i="29"/>
  <c r="J181" i="29"/>
  <c r="J174" i="29"/>
  <c r="H183" i="17"/>
  <c r="H182" i="17"/>
  <c r="H175" i="17"/>
  <c r="D175" i="28"/>
  <c r="H132" i="14" s="1"/>
  <c r="H131" i="14" s="1"/>
  <c r="I182" i="28"/>
  <c r="I181" i="28"/>
  <c r="I174" i="28"/>
  <c r="I178" i="29"/>
  <c r="I185" i="29" s="1"/>
  <c r="D174" i="29" l="1"/>
  <c r="G178" i="29"/>
  <c r="G185" i="29" s="1"/>
  <c r="E178" i="28"/>
  <c r="E185" i="28" s="1"/>
  <c r="F178" i="28"/>
  <c r="F185" i="28" s="1"/>
  <c r="L178" i="28"/>
  <c r="L185" i="28" s="1"/>
  <c r="G179" i="17"/>
  <c r="G186" i="17" s="1"/>
  <c r="L178" i="29"/>
  <c r="L185" i="29" s="1"/>
  <c r="L179" i="17"/>
  <c r="L186" i="17" s="1"/>
  <c r="E178" i="29"/>
  <c r="E185" i="29" s="1"/>
  <c r="I179" i="17"/>
  <c r="I186" i="17" s="1"/>
  <c r="J178" i="29"/>
  <c r="J185" i="29" s="1"/>
  <c r="G178" i="28"/>
  <c r="G185" i="28" s="1"/>
  <c r="D174" i="28"/>
  <c r="J178" i="28"/>
  <c r="J185" i="28" s="1"/>
  <c r="M178" i="28"/>
  <c r="M185" i="28" s="1"/>
  <c r="J179" i="17"/>
  <c r="J186" i="17" s="1"/>
  <c r="I178" i="28"/>
  <c r="I185" i="28" s="1"/>
  <c r="H179" i="17"/>
  <c r="H186" i="17" s="1"/>
  <c r="H178" i="28"/>
  <c r="H185" i="28" s="1"/>
  <c r="H178" i="29"/>
  <c r="H185" i="29" s="1"/>
  <c r="M286" i="1" l="1"/>
  <c r="M284" i="1" s="1"/>
  <c r="M292" i="1"/>
  <c r="N33" i="17" l="1"/>
  <c r="N31" i="17"/>
  <c r="N98" i="17"/>
  <c r="N99" i="17" s="1"/>
  <c r="N20" i="17"/>
  <c r="N19" i="17"/>
  <c r="N22" i="17"/>
  <c r="N26" i="17"/>
  <c r="N27" i="17"/>
  <c r="N94" i="17"/>
  <c r="N95" i="17" s="1"/>
  <c r="N30" i="17"/>
  <c r="N47" i="17"/>
  <c r="N29" i="17"/>
  <c r="N21" i="17"/>
  <c r="N28" i="17"/>
  <c r="N17" i="17"/>
  <c r="N18" i="17"/>
  <c r="N68" i="17"/>
  <c r="N78" i="17"/>
  <c r="N88" i="17"/>
  <c r="N67" i="17"/>
  <c r="N85" i="17"/>
  <c r="N75" i="17"/>
  <c r="N66" i="17"/>
  <c r="N63" i="17"/>
  <c r="N64" i="17"/>
  <c r="N76" i="17"/>
  <c r="N73" i="17"/>
  <c r="N86" i="17"/>
  <c r="N74" i="17"/>
  <c r="N83" i="17"/>
  <c r="N77" i="17"/>
  <c r="N84" i="17"/>
  <c r="N87" i="17"/>
  <c r="N65" i="17"/>
  <c r="N286" i="1"/>
  <c r="N284" i="1" s="1"/>
  <c r="N292" i="1"/>
  <c r="N91" i="17" l="1"/>
  <c r="N178" i="17" s="1"/>
  <c r="O33" i="17"/>
  <c r="O31" i="17"/>
  <c r="N62" i="17"/>
  <c r="N61" i="17" s="1"/>
  <c r="O213" i="17" s="1"/>
  <c r="O286" i="1"/>
  <c r="O284" i="1" s="1"/>
  <c r="O292" i="1"/>
  <c r="O20" i="17"/>
  <c r="O26" i="17"/>
  <c r="O27" i="17"/>
  <c r="O30" i="17"/>
  <c r="O21" i="17"/>
  <c r="O28" i="17"/>
  <c r="O22" i="17"/>
  <c r="O94" i="17"/>
  <c r="O95" i="17" s="1"/>
  <c r="O17" i="17"/>
  <c r="O18" i="17"/>
  <c r="O98" i="17"/>
  <c r="O99" i="17" s="1"/>
  <c r="O19" i="17"/>
  <c r="O47" i="17"/>
  <c r="O29" i="17"/>
  <c r="O66" i="17"/>
  <c r="O63" i="17"/>
  <c r="O67" i="17"/>
  <c r="O84" i="17"/>
  <c r="O74" i="17"/>
  <c r="O83" i="17"/>
  <c r="O64" i="17"/>
  <c r="O85" i="17"/>
  <c r="O68" i="17"/>
  <c r="O78" i="17"/>
  <c r="O88" i="17"/>
  <c r="O73" i="17"/>
  <c r="O77" i="17"/>
  <c r="O86" i="17"/>
  <c r="O76" i="17"/>
  <c r="O75" i="17"/>
  <c r="O65" i="17"/>
  <c r="O87" i="17"/>
  <c r="N82" i="17"/>
  <c r="N81" i="17" s="1"/>
  <c r="O216" i="17" s="1"/>
  <c r="N57" i="17"/>
  <c r="N53" i="17"/>
  <c r="N52" i="17"/>
  <c r="N54" i="17"/>
  <c r="N55" i="17"/>
  <c r="N56" i="17"/>
  <c r="N25" i="17"/>
  <c r="N24" i="17" s="1"/>
  <c r="N72" i="17"/>
  <c r="N71" i="17" s="1"/>
  <c r="O219" i="17" s="1"/>
  <c r="N16" i="17"/>
  <c r="N15" i="17" s="1"/>
  <c r="P33" i="17" l="1"/>
  <c r="P31" i="17"/>
  <c r="O91" i="17"/>
  <c r="O178" i="17" s="1"/>
  <c r="O62" i="17"/>
  <c r="O61" i="17" s="1"/>
  <c r="P213" i="17" s="1"/>
  <c r="O16" i="17"/>
  <c r="O15" i="17" s="1"/>
  <c r="P286" i="1"/>
  <c r="P284" i="1" s="1"/>
  <c r="P292" i="1"/>
  <c r="N51" i="17"/>
  <c r="N50" i="17" s="1"/>
  <c r="N60" i="17"/>
  <c r="N176" i="17" s="1"/>
  <c r="O72" i="17"/>
  <c r="O71" i="17" s="1"/>
  <c r="P219" i="17" s="1"/>
  <c r="P22" i="17"/>
  <c r="P20" i="17"/>
  <c r="P17" i="17"/>
  <c r="P26" i="17"/>
  <c r="P30" i="17"/>
  <c r="P27" i="17"/>
  <c r="P18" i="17"/>
  <c r="P28" i="17"/>
  <c r="P19" i="17"/>
  <c r="P21" i="17"/>
  <c r="P47" i="17"/>
  <c r="P29" i="17"/>
  <c r="P94" i="17"/>
  <c r="P95" i="17" s="1"/>
  <c r="P98" i="17"/>
  <c r="P99" i="17" s="1"/>
  <c r="P83" i="17"/>
  <c r="P73" i="17"/>
  <c r="P65" i="17"/>
  <c r="P84" i="17"/>
  <c r="P86" i="17"/>
  <c r="P76" i="17"/>
  <c r="P78" i="17"/>
  <c r="P88" i="17"/>
  <c r="P66" i="17"/>
  <c r="P77" i="17"/>
  <c r="P64" i="17"/>
  <c r="P87" i="17"/>
  <c r="P68" i="17"/>
  <c r="P67" i="17"/>
  <c r="P85" i="17"/>
  <c r="P75" i="17"/>
  <c r="P63" i="17"/>
  <c r="P74" i="17"/>
  <c r="O82" i="17"/>
  <c r="O81" i="17" s="1"/>
  <c r="P216" i="17" s="1"/>
  <c r="O25" i="17"/>
  <c r="O24" i="17" s="1"/>
  <c r="O12" i="17" s="1"/>
  <c r="N12" i="17"/>
  <c r="O54" i="17"/>
  <c r="O52" i="17"/>
  <c r="O53" i="17"/>
  <c r="O57" i="17"/>
  <c r="O56" i="17"/>
  <c r="O55" i="17"/>
  <c r="P91" i="17" l="1"/>
  <c r="P178" i="17" s="1"/>
  <c r="O11" i="17"/>
  <c r="O10" i="17" s="1"/>
  <c r="O137" i="17" s="1"/>
  <c r="Q33" i="17"/>
  <c r="Q31" i="17"/>
  <c r="N11" i="17"/>
  <c r="N10" i="17" s="1"/>
  <c r="N137" i="17" s="1"/>
  <c r="P16" i="17"/>
  <c r="P15" i="17" s="1"/>
  <c r="O51" i="17"/>
  <c r="O50" i="17" s="1"/>
  <c r="O210" i="17"/>
  <c r="N43" i="17"/>
  <c r="N177" i="17" s="1"/>
  <c r="N183" i="17" s="1"/>
  <c r="O60" i="17"/>
  <c r="O176" i="17" s="1"/>
  <c r="P62" i="17"/>
  <c r="P82" i="17"/>
  <c r="P81" i="17" s="1"/>
  <c r="Q216" i="17" s="1"/>
  <c r="P57" i="17"/>
  <c r="P56" i="17"/>
  <c r="P55" i="17"/>
  <c r="P52" i="17"/>
  <c r="P53" i="17"/>
  <c r="P54" i="17"/>
  <c r="Q28" i="17"/>
  <c r="Q94" i="17"/>
  <c r="Q95" i="17" s="1"/>
  <c r="Q30" i="17"/>
  <c r="Q26" i="17"/>
  <c r="Q47" i="17"/>
  <c r="Q18" i="17"/>
  <c r="Q29" i="17"/>
  <c r="Q21" i="17"/>
  <c r="Q17" i="17"/>
  <c r="Q98" i="17"/>
  <c r="Q99" i="17" s="1"/>
  <c r="Q20" i="17"/>
  <c r="Q22" i="17"/>
  <c r="Q27" i="17"/>
  <c r="Q19" i="17"/>
  <c r="Q66" i="17"/>
  <c r="Q83" i="17"/>
  <c r="Q73" i="17"/>
  <c r="Q77" i="17"/>
  <c r="Q86" i="17"/>
  <c r="Q76" i="17"/>
  <c r="Q74" i="17"/>
  <c r="Q68" i="17"/>
  <c r="Q84" i="17"/>
  <c r="Q65" i="17"/>
  <c r="Q87" i="17"/>
  <c r="Q75" i="17"/>
  <c r="Q63" i="17"/>
  <c r="Q67" i="17"/>
  <c r="Q85" i="17"/>
  <c r="Q78" i="17"/>
  <c r="Q88" i="17"/>
  <c r="Q64" i="17"/>
  <c r="P72" i="17"/>
  <c r="P71" i="17" s="1"/>
  <c r="Q219" i="17" s="1"/>
  <c r="Q286" i="1"/>
  <c r="Q284" i="1" s="1"/>
  <c r="Q292" i="1"/>
  <c r="P25" i="17"/>
  <c r="P24" i="17" s="1"/>
  <c r="N182" i="17" l="1"/>
  <c r="N175" i="17"/>
  <c r="N136" i="17"/>
  <c r="N142" i="17" s="1"/>
  <c r="N145" i="17" s="1"/>
  <c r="N196" i="17"/>
  <c r="N197" i="17" s="1"/>
  <c r="N163" i="17"/>
  <c r="N172" i="17" s="1"/>
  <c r="O196" i="17"/>
  <c r="O197" i="17" s="1"/>
  <c r="O136" i="17"/>
  <c r="O142" i="17" s="1"/>
  <c r="O145" i="17" s="1"/>
  <c r="O163" i="17"/>
  <c r="O172" i="17" s="1"/>
  <c r="R33" i="17"/>
  <c r="R31" i="17"/>
  <c r="Q82" i="17"/>
  <c r="Q81" i="17" s="1"/>
  <c r="R216" i="17" s="1"/>
  <c r="Q16" i="17"/>
  <c r="Q15" i="17" s="1"/>
  <c r="Q57" i="17"/>
  <c r="Q55" i="17"/>
  <c r="Q56" i="17"/>
  <c r="Q53" i="17"/>
  <c r="Q52" i="17"/>
  <c r="Q54" i="17"/>
  <c r="Q91" i="17"/>
  <c r="Q178" i="17" s="1"/>
  <c r="P51" i="17"/>
  <c r="P50" i="17" s="1"/>
  <c r="P12" i="17"/>
  <c r="Q72" i="17"/>
  <c r="Q71" i="17" s="1"/>
  <c r="R219" i="17" s="1"/>
  <c r="O43" i="17"/>
  <c r="O177" i="17" s="1"/>
  <c r="O175" i="17" s="1"/>
  <c r="P210" i="17"/>
  <c r="R286" i="1"/>
  <c r="R284" i="1" s="1"/>
  <c r="R292" i="1"/>
  <c r="R17" i="17"/>
  <c r="R22" i="17"/>
  <c r="R21" i="17"/>
  <c r="R18" i="17"/>
  <c r="R30" i="17"/>
  <c r="R19" i="17"/>
  <c r="R26" i="17"/>
  <c r="R47" i="17"/>
  <c r="R27" i="17"/>
  <c r="R28" i="17"/>
  <c r="R29" i="17"/>
  <c r="R20" i="17"/>
  <c r="R98" i="17"/>
  <c r="R99" i="17" s="1"/>
  <c r="R94" i="17"/>
  <c r="R95" i="17" s="1"/>
  <c r="R68" i="17"/>
  <c r="R78" i="17"/>
  <c r="R88" i="17"/>
  <c r="R66" i="17"/>
  <c r="R73" i="17"/>
  <c r="R86" i="17"/>
  <c r="R76" i="17"/>
  <c r="R75" i="17"/>
  <c r="R74" i="17"/>
  <c r="R87" i="17"/>
  <c r="R63" i="17"/>
  <c r="R83" i="17"/>
  <c r="R67" i="17"/>
  <c r="R64" i="17"/>
  <c r="R85" i="17"/>
  <c r="R77" i="17"/>
  <c r="R84" i="17"/>
  <c r="R65" i="17"/>
  <c r="Q62" i="17"/>
  <c r="Q25" i="17"/>
  <c r="Q24" i="17" s="1"/>
  <c r="P61" i="17"/>
  <c r="Q213" i="17" s="1"/>
  <c r="P60" i="17"/>
  <c r="P176" i="17" s="1"/>
  <c r="O161" i="17" l="1"/>
  <c r="N161" i="17"/>
  <c r="P11" i="17"/>
  <c r="P10" i="17" s="1"/>
  <c r="P137" i="17" s="1"/>
  <c r="S33" i="17"/>
  <c r="S31" i="17"/>
  <c r="Q51" i="17"/>
  <c r="Q50" i="17" s="1"/>
  <c r="Q43" i="17" s="1"/>
  <c r="Q177" i="17" s="1"/>
  <c r="Q12" i="17"/>
  <c r="R57" i="17"/>
  <c r="R55" i="17"/>
  <c r="R56" i="17"/>
  <c r="R52" i="17"/>
  <c r="R54" i="17"/>
  <c r="R53" i="17"/>
  <c r="R16" i="17"/>
  <c r="R15" i="17" s="1"/>
  <c r="N180" i="17"/>
  <c r="N179" i="17" s="1"/>
  <c r="N170" i="17"/>
  <c r="P43" i="17"/>
  <c r="P177" i="17" s="1"/>
  <c r="P182" i="17" s="1"/>
  <c r="Q210" i="17"/>
  <c r="S286" i="1"/>
  <c r="S284" i="1" s="1"/>
  <c r="S292" i="1"/>
  <c r="R82" i="17"/>
  <c r="R81" i="17" s="1"/>
  <c r="S216" i="17" s="1"/>
  <c r="R91" i="17"/>
  <c r="R178" i="17" s="1"/>
  <c r="R25" i="17"/>
  <c r="R24" i="17" s="1"/>
  <c r="S47" i="17"/>
  <c r="S19" i="17"/>
  <c r="S29" i="17"/>
  <c r="S94" i="17"/>
  <c r="S95" i="17" s="1"/>
  <c r="S27" i="17"/>
  <c r="S26" i="17"/>
  <c r="S30" i="17"/>
  <c r="S18" i="17"/>
  <c r="S22" i="17"/>
  <c r="S17" i="17"/>
  <c r="S98" i="17"/>
  <c r="S99" i="17" s="1"/>
  <c r="S21" i="17"/>
  <c r="S28" i="17"/>
  <c r="S20" i="17"/>
  <c r="S75" i="17"/>
  <c r="S74" i="17"/>
  <c r="S68" i="17"/>
  <c r="S67" i="17"/>
  <c r="S64" i="17"/>
  <c r="S65" i="17"/>
  <c r="S84" i="17"/>
  <c r="S73" i="17"/>
  <c r="S78" i="17"/>
  <c r="S66" i="17"/>
  <c r="S63" i="17"/>
  <c r="S83" i="17"/>
  <c r="S85" i="17"/>
  <c r="S87" i="17"/>
  <c r="S86" i="17"/>
  <c r="S76" i="17"/>
  <c r="S88" i="17"/>
  <c r="S77" i="17"/>
  <c r="O182" i="17"/>
  <c r="O170" i="17"/>
  <c r="O180" i="17"/>
  <c r="P183" i="17"/>
  <c r="P175" i="17"/>
  <c r="R72" i="17"/>
  <c r="R71" i="17" s="1"/>
  <c r="S219" i="17" s="1"/>
  <c r="Q61" i="17"/>
  <c r="R213" i="17" s="1"/>
  <c r="Q60" i="17"/>
  <c r="Q176" i="17" s="1"/>
  <c r="R62" i="17"/>
  <c r="O183" i="17"/>
  <c r="P196" i="17" l="1"/>
  <c r="P136" i="17"/>
  <c r="P142" i="17" s="1"/>
  <c r="P145" i="17" s="1"/>
  <c r="P163" i="17"/>
  <c r="P161" i="17" s="1"/>
  <c r="T33" i="17"/>
  <c r="T31" i="17"/>
  <c r="Q11" i="17"/>
  <c r="Q10" i="17" s="1"/>
  <c r="Q137" i="17" s="1"/>
  <c r="R210" i="17"/>
  <c r="R51" i="17"/>
  <c r="R50" i="17" s="1"/>
  <c r="S210" i="17" s="1"/>
  <c r="R12" i="17"/>
  <c r="S62" i="17"/>
  <c r="S61" i="17" s="1"/>
  <c r="T213" i="17" s="1"/>
  <c r="S25" i="17"/>
  <c r="S24" i="17" s="1"/>
  <c r="P172" i="17"/>
  <c r="R61" i="17"/>
  <c r="S213" i="17" s="1"/>
  <c r="R60" i="17"/>
  <c r="R176" i="17" s="1"/>
  <c r="O179" i="17"/>
  <c r="O186" i="17" s="1"/>
  <c r="S57" i="17"/>
  <c r="S53" i="17"/>
  <c r="S56" i="17"/>
  <c r="S52" i="17"/>
  <c r="S55" i="17"/>
  <c r="S54" i="17"/>
  <c r="N186" i="17"/>
  <c r="Q182" i="17"/>
  <c r="Q183" i="17"/>
  <c r="Q175" i="17"/>
  <c r="P197" i="17"/>
  <c r="S82" i="17"/>
  <c r="S81" i="17" s="1"/>
  <c r="T216" i="17" s="1"/>
  <c r="S72" i="17"/>
  <c r="S71" i="17" s="1"/>
  <c r="T219" i="17" s="1"/>
  <c r="S16" i="17"/>
  <c r="S15" i="17" s="1"/>
  <c r="S91" i="17"/>
  <c r="S178" i="17" s="1"/>
  <c r="T22" i="17"/>
  <c r="T26" i="17"/>
  <c r="T47" i="17"/>
  <c r="T20" i="17"/>
  <c r="T18" i="17"/>
  <c r="T98" i="17"/>
  <c r="T99" i="17" s="1"/>
  <c r="T94" i="17"/>
  <c r="T95" i="17" s="1"/>
  <c r="T21" i="17"/>
  <c r="T19" i="17"/>
  <c r="T30" i="17"/>
  <c r="T29" i="17"/>
  <c r="T27" i="17"/>
  <c r="T28" i="17"/>
  <c r="T17" i="17"/>
  <c r="T66" i="17"/>
  <c r="T67" i="17"/>
  <c r="T85" i="17"/>
  <c r="T65" i="17"/>
  <c r="T84" i="17"/>
  <c r="T75" i="17"/>
  <c r="T74" i="17"/>
  <c r="T87" i="17"/>
  <c r="T68" i="17"/>
  <c r="T88" i="17"/>
  <c r="T83" i="17"/>
  <c r="T64" i="17"/>
  <c r="T73" i="17"/>
  <c r="T86" i="17"/>
  <c r="T76" i="17"/>
  <c r="T78" i="17"/>
  <c r="T63" i="17"/>
  <c r="T77" i="17"/>
  <c r="R43" i="17" l="1"/>
  <c r="R177" i="17" s="1"/>
  <c r="Q196" i="17"/>
  <c r="Q197" i="17" s="1"/>
  <c r="Q163" i="17"/>
  <c r="Q172" i="17" s="1"/>
  <c r="Q170" i="17" s="1"/>
  <c r="Q136" i="17"/>
  <c r="Q142" i="17" s="1"/>
  <c r="Q145" i="17" s="1"/>
  <c r="R11" i="17"/>
  <c r="R10" i="17" s="1"/>
  <c r="R137" i="17" s="1"/>
  <c r="R163" i="17" s="1"/>
  <c r="R161" i="17" s="1"/>
  <c r="T91" i="17"/>
  <c r="T178" i="17" s="1"/>
  <c r="D178" i="17" s="1"/>
  <c r="D134" i="14" s="1"/>
  <c r="Q161" i="17"/>
  <c r="T62" i="17"/>
  <c r="T61" i="17" s="1"/>
  <c r="U213" i="17" s="1"/>
  <c r="D212" i="17" s="1"/>
  <c r="E123" i="14" s="1"/>
  <c r="T72" i="17"/>
  <c r="T71" i="17" s="1"/>
  <c r="U219" i="17" s="1"/>
  <c r="D219" i="17" s="1"/>
  <c r="G125" i="14" s="1"/>
  <c r="S51" i="17"/>
  <c r="S50" i="17" s="1"/>
  <c r="S43" i="17" s="1"/>
  <c r="S177" i="17" s="1"/>
  <c r="Q180" i="17"/>
  <c r="Q179" i="17" s="1"/>
  <c r="Q186" i="17" s="1"/>
  <c r="S60" i="17"/>
  <c r="S176" i="17" s="1"/>
  <c r="T82" i="17"/>
  <c r="T81" i="17" s="1"/>
  <c r="U216" i="17" s="1"/>
  <c r="T57" i="17"/>
  <c r="T52" i="17"/>
  <c r="T55" i="17"/>
  <c r="T54" i="17"/>
  <c r="T56" i="17"/>
  <c r="T53" i="17"/>
  <c r="S12" i="17"/>
  <c r="D218" i="17"/>
  <c r="E125" i="14" s="1"/>
  <c r="T16" i="17"/>
  <c r="T15" i="17" s="1"/>
  <c r="T25" i="17"/>
  <c r="T24" i="17" s="1"/>
  <c r="R175" i="17"/>
  <c r="R183" i="17"/>
  <c r="R182" i="17"/>
  <c r="P180" i="17"/>
  <c r="P179" i="17" s="1"/>
  <c r="P170" i="17"/>
  <c r="C218" i="17" l="1"/>
  <c r="D125" i="14" s="1"/>
  <c r="T210" i="17"/>
  <c r="C219" i="17"/>
  <c r="F125" i="14" s="1"/>
  <c r="R196" i="17"/>
  <c r="R197" i="17" s="1"/>
  <c r="R172" i="17"/>
  <c r="R180" i="17" s="1"/>
  <c r="R179" i="17" s="1"/>
  <c r="R186" i="17" s="1"/>
  <c r="R136" i="17"/>
  <c r="R142" i="17" s="1"/>
  <c r="R145" i="17" s="1"/>
  <c r="S11" i="17"/>
  <c r="S10" i="17" s="1"/>
  <c r="S137" i="17" s="1"/>
  <c r="D213" i="17"/>
  <c r="G123" i="14" s="1"/>
  <c r="C212" i="17"/>
  <c r="D123" i="14" s="1"/>
  <c r="C213" i="17"/>
  <c r="F123" i="14" s="1"/>
  <c r="T51" i="17"/>
  <c r="T50" i="17" s="1"/>
  <c r="S175" i="17"/>
  <c r="S182" i="17"/>
  <c r="S183" i="17"/>
  <c r="P186" i="17"/>
  <c r="D215" i="17"/>
  <c r="E124" i="14" s="1"/>
  <c r="C216" i="17"/>
  <c r="F124" i="14" s="1"/>
  <c r="D216" i="17"/>
  <c r="G124" i="14" s="1"/>
  <c r="T12" i="17"/>
  <c r="T60" i="17"/>
  <c r="T176" i="17" s="1"/>
  <c r="C215" i="17"/>
  <c r="D124" i="14" s="1"/>
  <c r="R170" i="17" l="1"/>
  <c r="S136" i="17"/>
  <c r="S142" i="17" s="1"/>
  <c r="S145" i="17" s="1"/>
  <c r="S163" i="17"/>
  <c r="S196" i="17"/>
  <c r="S197" i="17" s="1"/>
  <c r="T11" i="17"/>
  <c r="T10" i="17" s="1"/>
  <c r="T137" i="17" s="1"/>
  <c r="P127" i="17"/>
  <c r="P128" i="17" s="1"/>
  <c r="S172" i="17"/>
  <c r="S161" i="17"/>
  <c r="D176" i="17"/>
  <c r="D132" i="14" s="1"/>
  <c r="U210" i="17"/>
  <c r="T43" i="17"/>
  <c r="T177" i="17" s="1"/>
  <c r="D177" i="17" s="1"/>
  <c r="D133" i="14" s="1"/>
  <c r="E127" i="17" l="1"/>
  <c r="E128" i="17" s="1"/>
  <c r="T196" i="17"/>
  <c r="T197" i="17" s="1"/>
  <c r="K127" i="17"/>
  <c r="K128" i="17" s="1"/>
  <c r="D130" i="14"/>
  <c r="L127" i="17"/>
  <c r="L128" i="17" s="1"/>
  <c r="M127" i="17"/>
  <c r="M128" i="17" s="1"/>
  <c r="N127" i="17"/>
  <c r="N128" i="17" s="1"/>
  <c r="O127" i="17"/>
  <c r="O128" i="17" s="1"/>
  <c r="G127" i="17"/>
  <c r="G128" i="17" s="1"/>
  <c r="T136" i="17"/>
  <c r="H127" i="17"/>
  <c r="H128" i="17" s="1"/>
  <c r="T163" i="17"/>
  <c r="T172" i="17" s="1"/>
  <c r="D172" i="17" s="1"/>
  <c r="I127" i="17"/>
  <c r="I128" i="17" s="1"/>
  <c r="F127" i="17"/>
  <c r="F128" i="17" s="1"/>
  <c r="J127" i="17"/>
  <c r="J128" i="17" s="1"/>
  <c r="T182" i="17"/>
  <c r="D131" i="14"/>
  <c r="D197" i="17"/>
  <c r="D198" i="17" s="1"/>
  <c r="D199" i="17" s="1"/>
  <c r="D202" i="17" s="1"/>
  <c r="D204" i="17" s="1"/>
  <c r="C210" i="17"/>
  <c r="F122" i="14" s="1"/>
  <c r="C209" i="17"/>
  <c r="D122" i="14" s="1"/>
  <c r="D210" i="17"/>
  <c r="G122" i="14" s="1"/>
  <c r="D209" i="17"/>
  <c r="E122" i="14" s="1"/>
  <c r="T183" i="17"/>
  <c r="S170" i="17"/>
  <c r="S180" i="17"/>
  <c r="S179" i="17" s="1"/>
  <c r="D196" i="17"/>
  <c r="T175" i="17"/>
  <c r="D129" i="17" l="1"/>
  <c r="T135" i="17" s="1"/>
  <c r="T133" i="17" s="1"/>
  <c r="T142" i="17" s="1"/>
  <c r="E147" i="17" s="1"/>
  <c r="S186" i="17"/>
  <c r="L155" i="17"/>
  <c r="L156" i="17" s="1"/>
  <c r="F155" i="17"/>
  <c r="F156" i="17" s="1"/>
  <c r="E155" i="17"/>
  <c r="E156" i="17" s="1"/>
  <c r="J155" i="17"/>
  <c r="J156" i="17" s="1"/>
  <c r="N155" i="17"/>
  <c r="N156" i="17" s="1"/>
  <c r="I155" i="17"/>
  <c r="I156" i="17" s="1"/>
  <c r="H155" i="17"/>
  <c r="H156" i="17" s="1"/>
  <c r="M155" i="17"/>
  <c r="M156" i="17" s="1"/>
  <c r="G155" i="17"/>
  <c r="G156" i="17" s="1"/>
  <c r="P155" i="17"/>
  <c r="P156" i="17" s="1"/>
  <c r="K155" i="17"/>
  <c r="K156" i="17" s="1"/>
  <c r="O155" i="17"/>
  <c r="O156" i="17" s="1"/>
  <c r="D175" i="17"/>
  <c r="T180" i="17"/>
  <c r="T145" i="17" l="1"/>
  <c r="E146" i="17" s="1"/>
  <c r="D157" i="17"/>
  <c r="T165" i="17" s="1"/>
  <c r="T174" i="17" l="1"/>
  <c r="T161" i="17"/>
  <c r="T181" i="17" l="1"/>
  <c r="T179" i="17" s="1"/>
  <c r="D174" i="17"/>
  <c r="T170" i="17"/>
  <c r="E189" i="17" l="1"/>
  <c r="D137" i="14" s="1"/>
  <c r="T186" i="17"/>
  <c r="E187" i="17" s="1"/>
  <c r="D135" i="14" s="1"/>
  <c r="E188" i="17"/>
  <c r="Q115" i="28" l="1"/>
  <c r="Q113" i="28" s="1"/>
  <c r="Q195" i="28"/>
  <c r="Q196" i="28" s="1"/>
  <c r="T115" i="29"/>
  <c r="T113" i="29" s="1"/>
  <c r="T195" i="29"/>
  <c r="T196" i="29" s="1"/>
  <c r="P115" i="28" l="1"/>
  <c r="P113" i="28" s="1"/>
  <c r="P195" i="28"/>
  <c r="P196" i="28" s="1"/>
  <c r="N115" i="28"/>
  <c r="N195" i="28"/>
  <c r="O115" i="28"/>
  <c r="O113" i="28" s="1"/>
  <c r="O195" i="28"/>
  <c r="O196" i="28" s="1"/>
  <c r="T115" i="28"/>
  <c r="T113" i="28" s="1"/>
  <c r="T195" i="28"/>
  <c r="T196" i="28" s="1"/>
  <c r="R115" i="28"/>
  <c r="R113" i="28" s="1"/>
  <c r="R195" i="28"/>
  <c r="R196" i="28" s="1"/>
  <c r="Q140" i="28"/>
  <c r="Q135" i="28" s="1"/>
  <c r="Q141" i="28" s="1"/>
  <c r="Q144" i="28" s="1"/>
  <c r="Q163" i="28"/>
  <c r="Q115" i="29"/>
  <c r="Q113" i="29" s="1"/>
  <c r="Q195" i="29"/>
  <c r="Q196" i="29" s="1"/>
  <c r="N115" i="29"/>
  <c r="N195" i="29"/>
  <c r="R115" i="29"/>
  <c r="R113" i="29" s="1"/>
  <c r="R195" i="29"/>
  <c r="R196" i="29" s="1"/>
  <c r="O115" i="29"/>
  <c r="O113" i="29" s="1"/>
  <c r="O195" i="29"/>
  <c r="O196" i="29" s="1"/>
  <c r="P115" i="29"/>
  <c r="P113" i="29" s="1"/>
  <c r="P195" i="29"/>
  <c r="P196" i="29" s="1"/>
  <c r="T163" i="29"/>
  <c r="T140" i="29"/>
  <c r="T135" i="29" s="1"/>
  <c r="Q160" i="28" l="1"/>
  <c r="Q172" i="28"/>
  <c r="T163" i="28"/>
  <c r="T140" i="28"/>
  <c r="T135" i="28" s="1"/>
  <c r="N113" i="28"/>
  <c r="R140" i="28"/>
  <c r="R135" i="28" s="1"/>
  <c r="R141" i="28" s="1"/>
  <c r="R144" i="28" s="1"/>
  <c r="R163" i="28"/>
  <c r="O163" i="28"/>
  <c r="O140" i="28"/>
  <c r="O135" i="28" s="1"/>
  <c r="O141" i="28" s="1"/>
  <c r="O144" i="28" s="1"/>
  <c r="P163" i="28"/>
  <c r="P140" i="28"/>
  <c r="P135" i="28" s="1"/>
  <c r="P141" i="28" s="1"/>
  <c r="P144" i="28" s="1"/>
  <c r="N196" i="28"/>
  <c r="N196" i="29"/>
  <c r="T172" i="29"/>
  <c r="T179" i="29" s="1"/>
  <c r="O140" i="29"/>
  <c r="O135" i="29" s="1"/>
  <c r="O141" i="29" s="1"/>
  <c r="O144" i="29" s="1"/>
  <c r="O163" i="29"/>
  <c r="N113" i="29"/>
  <c r="P140" i="29"/>
  <c r="P135" i="29" s="1"/>
  <c r="P141" i="29" s="1"/>
  <c r="P144" i="29" s="1"/>
  <c r="P163" i="29"/>
  <c r="R140" i="29"/>
  <c r="R135" i="29" s="1"/>
  <c r="R141" i="29" s="1"/>
  <c r="R144" i="29" s="1"/>
  <c r="R163" i="29"/>
  <c r="Q140" i="29"/>
  <c r="Q135" i="29" s="1"/>
  <c r="Q141" i="29" s="1"/>
  <c r="Q144" i="29" s="1"/>
  <c r="Q163" i="29"/>
  <c r="N140" i="28" l="1"/>
  <c r="N163" i="28"/>
  <c r="R160" i="28"/>
  <c r="R172" i="28"/>
  <c r="O172" i="28"/>
  <c r="O160" i="28"/>
  <c r="P172" i="28"/>
  <c r="P160" i="28"/>
  <c r="T172" i="28"/>
  <c r="Q169" i="28"/>
  <c r="Q179" i="28"/>
  <c r="Q178" i="28" s="1"/>
  <c r="Q185" i="28" s="1"/>
  <c r="R172" i="29"/>
  <c r="R160" i="29"/>
  <c r="N140" i="29"/>
  <c r="N163" i="29"/>
  <c r="Q172" i="29"/>
  <c r="Q160" i="29"/>
  <c r="P172" i="29"/>
  <c r="P160" i="29"/>
  <c r="O172" i="29"/>
  <c r="O160" i="29"/>
  <c r="P169" i="28" l="1"/>
  <c r="P179" i="28"/>
  <c r="P178" i="28" s="1"/>
  <c r="P185" i="28" s="1"/>
  <c r="T179" i="28"/>
  <c r="O179" i="28"/>
  <c r="O178" i="28" s="1"/>
  <c r="O185" i="28" s="1"/>
  <c r="O169" i="28"/>
  <c r="N160" i="28"/>
  <c r="N172" i="28"/>
  <c r="R169" i="28"/>
  <c r="R179" i="28"/>
  <c r="R178" i="28" s="1"/>
  <c r="R185" i="28" s="1"/>
  <c r="N135" i="28"/>
  <c r="N141" i="28" s="1"/>
  <c r="P169" i="29"/>
  <c r="P179" i="29"/>
  <c r="P178" i="29" s="1"/>
  <c r="P185" i="29" s="1"/>
  <c r="N135" i="29"/>
  <c r="N141" i="29" s="1"/>
  <c r="N144" i="29" s="1"/>
  <c r="O179" i="29"/>
  <c r="O178" i="29" s="1"/>
  <c r="O185" i="29" s="1"/>
  <c r="O169" i="29"/>
  <c r="Q179" i="29"/>
  <c r="Q178" i="29" s="1"/>
  <c r="Q185" i="29" s="1"/>
  <c r="Q169" i="29"/>
  <c r="N172" i="29"/>
  <c r="N160" i="29"/>
  <c r="R179" i="29"/>
  <c r="R178" i="29" s="1"/>
  <c r="R185" i="29" s="1"/>
  <c r="R169" i="29"/>
  <c r="N179" i="28" l="1"/>
  <c r="N178" i="28" s="1"/>
  <c r="N169" i="28"/>
  <c r="N144" i="28"/>
  <c r="N169" i="29"/>
  <c r="N179" i="29"/>
  <c r="N178" i="29" s="1"/>
  <c r="N185" i="28" l="1"/>
  <c r="N185" i="29"/>
  <c r="S115" i="29" l="1"/>
  <c r="S195" i="29"/>
  <c r="S115" i="28" l="1"/>
  <c r="S195" i="28"/>
  <c r="S196" i="29"/>
  <c r="D196" i="29" s="1"/>
  <c r="D197" i="29" s="1"/>
  <c r="D198" i="29" s="1"/>
  <c r="D201" i="29" s="1"/>
  <c r="D203" i="29" s="1"/>
  <c r="D195" i="29"/>
  <c r="S113" i="29"/>
  <c r="D115" i="29"/>
  <c r="S196" i="28" l="1"/>
  <c r="D196" i="28" s="1"/>
  <c r="D197" i="28" s="1"/>
  <c r="D198" i="28" s="1"/>
  <c r="D201" i="28" s="1"/>
  <c r="D203" i="28" s="1"/>
  <c r="D195" i="28"/>
  <c r="S113" i="28"/>
  <c r="D115" i="28"/>
  <c r="S163" i="29"/>
  <c r="S140" i="29"/>
  <c r="D113" i="29"/>
  <c r="M154" i="29" l="1"/>
  <c r="M155" i="29" s="1"/>
  <c r="N154" i="29"/>
  <c r="N155" i="29" s="1"/>
  <c r="O154" i="29"/>
  <c r="O155" i="29" s="1"/>
  <c r="P154" i="29"/>
  <c r="P155" i="29" s="1"/>
  <c r="P126" i="29"/>
  <c r="P127" i="29" s="1"/>
  <c r="M126" i="29"/>
  <c r="M127" i="29" s="1"/>
  <c r="N126" i="29"/>
  <c r="N127" i="29" s="1"/>
  <c r="O126" i="29"/>
  <c r="O127" i="29" s="1"/>
  <c r="S140" i="28"/>
  <c r="P126" i="28" s="1"/>
  <c r="P127" i="28" s="1"/>
  <c r="S163" i="28"/>
  <c r="P154" i="28" s="1"/>
  <c r="P155" i="28" s="1"/>
  <c r="D113" i="28"/>
  <c r="S135" i="29"/>
  <c r="S141" i="29" s="1"/>
  <c r="S144" i="29" s="1"/>
  <c r="I126" i="29"/>
  <c r="I127" i="29" s="1"/>
  <c r="E126" i="29"/>
  <c r="E127" i="29" s="1"/>
  <c r="F126" i="29"/>
  <c r="F127" i="29" s="1"/>
  <c r="H126" i="29"/>
  <c r="H127" i="29" s="1"/>
  <c r="K126" i="29"/>
  <c r="K127" i="29" s="1"/>
  <c r="G126" i="29"/>
  <c r="G127" i="29" s="1"/>
  <c r="L126" i="29"/>
  <c r="L127" i="29" s="1"/>
  <c r="J126" i="29"/>
  <c r="J127" i="29" s="1"/>
  <c r="S172" i="29"/>
  <c r="S160" i="29"/>
  <c r="J154" i="29"/>
  <c r="J155" i="29" s="1"/>
  <c r="K154" i="29"/>
  <c r="K155" i="29" s="1"/>
  <c r="L154" i="29"/>
  <c r="L155" i="29" s="1"/>
  <c r="H154" i="29"/>
  <c r="H155" i="29" s="1"/>
  <c r="E154" i="29"/>
  <c r="E155" i="29" s="1"/>
  <c r="I154" i="29"/>
  <c r="I155" i="29" s="1"/>
  <c r="F154" i="29"/>
  <c r="F155" i="29" s="1"/>
  <c r="G154" i="29"/>
  <c r="G155" i="29" s="1"/>
  <c r="S172" i="28" l="1"/>
  <c r="S160" i="28"/>
  <c r="G154" i="28"/>
  <c r="G155" i="28" s="1"/>
  <c r="N154" i="28"/>
  <c r="N155" i="28" s="1"/>
  <c r="L154" i="28"/>
  <c r="L155" i="28" s="1"/>
  <c r="J154" i="28"/>
  <c r="J155" i="28" s="1"/>
  <c r="F154" i="28"/>
  <c r="F155" i="28" s="1"/>
  <c r="I154" i="28"/>
  <c r="I155" i="28" s="1"/>
  <c r="K154" i="28"/>
  <c r="K155" i="28" s="1"/>
  <c r="M154" i="28"/>
  <c r="M155" i="28" s="1"/>
  <c r="H154" i="28"/>
  <c r="H155" i="28" s="1"/>
  <c r="E154" i="28"/>
  <c r="E155" i="28" s="1"/>
  <c r="O154" i="28"/>
  <c r="O155" i="28" s="1"/>
  <c r="S135" i="28"/>
  <c r="S141" i="28" s="1"/>
  <c r="I126" i="28"/>
  <c r="I127" i="28" s="1"/>
  <c r="E126" i="28"/>
  <c r="E127" i="28" s="1"/>
  <c r="K126" i="28"/>
  <c r="K127" i="28" s="1"/>
  <c r="H126" i="28"/>
  <c r="H127" i="28" s="1"/>
  <c r="J126" i="28"/>
  <c r="J127" i="28" s="1"/>
  <c r="O126" i="28"/>
  <c r="O127" i="28" s="1"/>
  <c r="M126" i="28"/>
  <c r="M127" i="28" s="1"/>
  <c r="L126" i="28"/>
  <c r="L127" i="28" s="1"/>
  <c r="N126" i="28"/>
  <c r="N127" i="28" s="1"/>
  <c r="F126" i="28"/>
  <c r="F127" i="28" s="1"/>
  <c r="G126" i="28"/>
  <c r="G127" i="28" s="1"/>
  <c r="D156" i="29"/>
  <c r="T164" i="29" s="1"/>
  <c r="D128" i="29"/>
  <c r="T134" i="29" s="1"/>
  <c r="T132" i="29" s="1"/>
  <c r="T141" i="29" s="1"/>
  <c r="T144" i="29" s="1"/>
  <c r="E145" i="29" s="1"/>
  <c r="S169" i="29"/>
  <c r="S179" i="29"/>
  <c r="S178" i="29" s="1"/>
  <c r="D172" i="29"/>
  <c r="D156" i="28" l="1"/>
  <c r="T164" i="28" s="1"/>
  <c r="T173" i="28" s="1"/>
  <c r="D128" i="28"/>
  <c r="T134" i="28" s="1"/>
  <c r="T132" i="28" s="1"/>
  <c r="T141" i="28" s="1"/>
  <c r="T144" i="28" s="1"/>
  <c r="S144" i="28"/>
  <c r="E146" i="28"/>
  <c r="S179" i="28"/>
  <c r="S178" i="28" s="1"/>
  <c r="S169" i="28"/>
  <c r="D172" i="28"/>
  <c r="S185" i="29"/>
  <c r="T173" i="29"/>
  <c r="T160" i="29"/>
  <c r="E145" i="28" l="1"/>
  <c r="T160" i="28"/>
  <c r="S185" i="28"/>
  <c r="D173" i="28"/>
  <c r="T180" i="28"/>
  <c r="T178" i="28" s="1"/>
  <c r="T185" i="28" s="1"/>
  <c r="T169" i="28"/>
  <c r="T169" i="29"/>
  <c r="D173" i="29"/>
  <c r="T180" i="29"/>
  <c r="T178" i="29" s="1"/>
  <c r="E188" i="29" l="1"/>
  <c r="L137" i="14" s="1"/>
  <c r="E188" i="28"/>
  <c r="H137" i="14" s="1"/>
  <c r="E187" i="28"/>
  <c r="E186" i="28"/>
  <c r="H135" i="14" s="1"/>
  <c r="T185" i="29"/>
  <c r="E186" i="29" s="1"/>
  <c r="L135" i="14" s="1"/>
  <c r="E187" i="29"/>
</calcChain>
</file>

<file path=xl/sharedStrings.xml><?xml version="1.0" encoding="utf-8"?>
<sst xmlns="http://schemas.openxmlformats.org/spreadsheetml/2006/main" count="2770" uniqueCount="514">
  <si>
    <t>PLN</t>
  </si>
  <si>
    <t>%</t>
  </si>
  <si>
    <t>-</t>
  </si>
  <si>
    <t>Lata:</t>
  </si>
  <si>
    <t>Okres analizy</t>
  </si>
  <si>
    <t>Stopa dyskontowa</t>
  </si>
  <si>
    <t>Kategoria kosztów</t>
  </si>
  <si>
    <t>usługi obce</t>
  </si>
  <si>
    <t>podatki i opłaty</t>
  </si>
  <si>
    <t>pozostałe</t>
  </si>
  <si>
    <t>wynagrodzenia</t>
  </si>
  <si>
    <t xml:space="preserve">Razem koszty eksploatacyjne </t>
  </si>
  <si>
    <t>Rok bazowy</t>
  </si>
  <si>
    <t>Kategoria</t>
  </si>
  <si>
    <t>Wyszczególnienie</t>
  </si>
  <si>
    <t>Suma</t>
  </si>
  <si>
    <t>Realna stopa dyskontowa</t>
  </si>
  <si>
    <t>Społeczna stopa dyskontowa</t>
  </si>
  <si>
    <t>Tabela 1.</t>
  </si>
  <si>
    <t>Tabela 2.</t>
  </si>
  <si>
    <t>Tabela 3.</t>
  </si>
  <si>
    <t>Tabela 4.</t>
  </si>
  <si>
    <t>Tabela 5.</t>
  </si>
  <si>
    <t>Tabela 6.</t>
  </si>
  <si>
    <t>Tabela 7.</t>
  </si>
  <si>
    <t>OKRES ANALIZY</t>
  </si>
  <si>
    <t>TABELA 2.</t>
  </si>
  <si>
    <t>TABELA 3.</t>
  </si>
  <si>
    <t>lata</t>
  </si>
  <si>
    <t>kWh/km</t>
  </si>
  <si>
    <t>3.</t>
  </si>
  <si>
    <t>4.</t>
  </si>
  <si>
    <t>5.</t>
  </si>
  <si>
    <t>Inwestycje</t>
  </si>
  <si>
    <t>1.</t>
  </si>
  <si>
    <t>2.</t>
  </si>
  <si>
    <t>6.</t>
  </si>
  <si>
    <t>7.</t>
  </si>
  <si>
    <t>8.</t>
  </si>
  <si>
    <t>9.</t>
  </si>
  <si>
    <t>10.</t>
  </si>
  <si>
    <t>11.</t>
  </si>
  <si>
    <t>Infrastruktura</t>
  </si>
  <si>
    <t>1.1.</t>
  </si>
  <si>
    <t>1.2.</t>
  </si>
  <si>
    <t>1.3.</t>
  </si>
  <si>
    <t>zł/szt</t>
  </si>
  <si>
    <t>zł</t>
  </si>
  <si>
    <t>szt</t>
  </si>
  <si>
    <t>2.1.</t>
  </si>
  <si>
    <t>2.2.</t>
  </si>
  <si>
    <t>3.1.</t>
  </si>
  <si>
    <t>3.2.</t>
  </si>
  <si>
    <t>Wartość rezydualna</t>
  </si>
  <si>
    <t>2.2.1.</t>
  </si>
  <si>
    <t>2.2.2.</t>
  </si>
  <si>
    <t>2.1.1.</t>
  </si>
  <si>
    <t>2.1.2.</t>
  </si>
  <si>
    <t>3.3.</t>
  </si>
  <si>
    <t>lat</t>
  </si>
  <si>
    <t>Odtworzenia</t>
  </si>
  <si>
    <t>2.3.</t>
  </si>
  <si>
    <t>NOx</t>
  </si>
  <si>
    <t>PM</t>
  </si>
  <si>
    <t>rodzaj autobusu</t>
  </si>
  <si>
    <t>EIRR</t>
  </si>
  <si>
    <t>BCR</t>
  </si>
  <si>
    <t>PLN/km</t>
  </si>
  <si>
    <t>ENPV</t>
  </si>
  <si>
    <t>2.4.</t>
  </si>
  <si>
    <t>2.5.</t>
  </si>
  <si>
    <r>
      <t>PLN/tCO</t>
    </r>
    <r>
      <rPr>
        <vertAlign val="subscript"/>
        <sz val="9"/>
        <rFont val="Arial"/>
        <family val="2"/>
        <charset val="238"/>
      </rPr>
      <t>2</t>
    </r>
  </si>
  <si>
    <r>
      <t>Jednostkowy koszt CO</t>
    </r>
    <r>
      <rPr>
        <vertAlign val="subscript"/>
        <sz val="9"/>
        <rFont val="Arial"/>
        <family val="2"/>
        <charset val="238"/>
      </rPr>
      <t>2</t>
    </r>
  </si>
  <si>
    <r>
      <t>gCO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/KWh</t>
    </r>
  </si>
  <si>
    <t>Okres użytkowania baterii</t>
  </si>
  <si>
    <t>Koszty operacyjne, w tym:</t>
  </si>
  <si>
    <t>1.5.</t>
  </si>
  <si>
    <t>Liczba wozokilometrów</t>
  </si>
  <si>
    <t>Podsumowanie analizy wariantów</t>
  </si>
  <si>
    <t>2.7.</t>
  </si>
  <si>
    <t>zużycie materiałów i energii:</t>
  </si>
  <si>
    <t>inne</t>
  </si>
  <si>
    <t>Inwestycje rozwojowe i modernizacyjne</t>
  </si>
  <si>
    <t>FNPV/c</t>
  </si>
  <si>
    <t>FRR/c</t>
  </si>
  <si>
    <t>Wpływy</t>
  </si>
  <si>
    <t>Wypływy</t>
  </si>
  <si>
    <t>Przepływy Pieniężne netto</t>
  </si>
  <si>
    <t>Współczynnik dyskonta</t>
  </si>
  <si>
    <t>4.1.</t>
  </si>
  <si>
    <t>[-]</t>
  </si>
  <si>
    <t>ERR</t>
  </si>
  <si>
    <t>Przepływy finansowe</t>
  </si>
  <si>
    <t>Koszty operacyjne</t>
  </si>
  <si>
    <t>Wartośc rezydualna</t>
  </si>
  <si>
    <t>Wskaźniki korekty fiskalnej</t>
  </si>
  <si>
    <t>Wskaźnik korekty kosztów operacyjnych</t>
  </si>
  <si>
    <t>Przepływy finansowe skorygowane</t>
  </si>
  <si>
    <t>Korzyści i koszty ekonomiczne</t>
  </si>
  <si>
    <t>Wartość efektów zewnętrznych z tytułu zmian klimatycznych</t>
  </si>
  <si>
    <t>Wartość efektów zewnętrznych z tytułu zmian hałasu</t>
  </si>
  <si>
    <t>Wartość efektów zewnętrznych z tytułu zmian zanieczyszczenia powietrza</t>
  </si>
  <si>
    <t>4.2.</t>
  </si>
  <si>
    <t>4.3.</t>
  </si>
  <si>
    <t>Przepływy ekonomiczne netto Projektu</t>
  </si>
  <si>
    <t>Ekonomiczna stopa dyskontowa</t>
  </si>
  <si>
    <t>Zdyskontowane ekonomiczne przepływy netto Projektu</t>
  </si>
  <si>
    <t>Korzyści ekonomiczne netto</t>
  </si>
  <si>
    <t>Koszty ekonomiczne netto</t>
  </si>
  <si>
    <t>5.1.</t>
  </si>
  <si>
    <t>5.2.</t>
  </si>
  <si>
    <t>6.1.</t>
  </si>
  <si>
    <t>Skorygowane koszty finansowe netto Projektu</t>
  </si>
  <si>
    <t>5.3.</t>
  </si>
  <si>
    <t>5.4.</t>
  </si>
  <si>
    <t>Dynamika PKB per capita</t>
  </si>
  <si>
    <t>ZAŁOŻENIA MAKROEKONOMICZNE, WSKAŹNIKI LOKALNE</t>
  </si>
  <si>
    <t>Skrót używany w arkuszach</t>
  </si>
  <si>
    <t>Vademecum CUPT</t>
  </si>
  <si>
    <t>Wskaźniki CUPT</t>
  </si>
  <si>
    <t>Niebieska Księga</t>
  </si>
  <si>
    <t>wzkm</t>
  </si>
  <si>
    <r>
      <t>NO</t>
    </r>
    <r>
      <rPr>
        <vertAlign val="subscript"/>
        <sz val="9"/>
        <rFont val="Arial"/>
        <family val="2"/>
        <charset val="238"/>
      </rPr>
      <t>x</t>
    </r>
  </si>
  <si>
    <t>NMVOC</t>
  </si>
  <si>
    <r>
      <t>SO</t>
    </r>
    <r>
      <rPr>
        <vertAlign val="subscript"/>
        <sz val="9"/>
        <rFont val="Arial"/>
        <family val="2"/>
        <charset val="238"/>
      </rPr>
      <t>2</t>
    </r>
  </si>
  <si>
    <t>PM2.5 obszar miejski</t>
  </si>
  <si>
    <t>PM2.5 obszar pozamiejski</t>
  </si>
  <si>
    <r>
      <t>Wskaźniki dot. emisji CO</t>
    </r>
    <r>
      <rPr>
        <vertAlign val="subscript"/>
        <sz val="9"/>
        <rFont val="Arial"/>
        <family val="2"/>
        <charset val="238"/>
      </rPr>
      <t>2</t>
    </r>
  </si>
  <si>
    <t>JEDNOSTKA</t>
  </si>
  <si>
    <t>PLN/tona emisji</t>
  </si>
  <si>
    <t>LP.</t>
  </si>
  <si>
    <t>MARKA</t>
  </si>
  <si>
    <t>NORMA EURO</t>
  </si>
  <si>
    <t>TYP</t>
  </si>
  <si>
    <t>ROK PRODUKCJI</t>
  </si>
  <si>
    <t xml:space="preserve">WSKAŹNIKI EKSPLOATACYJNE </t>
  </si>
  <si>
    <t>wzkm/rok</t>
  </si>
  <si>
    <t>PLN/l</t>
  </si>
  <si>
    <t>PLN/KWh</t>
  </si>
  <si>
    <t>PLN/szt</t>
  </si>
  <si>
    <t>g/km</t>
  </si>
  <si>
    <t>Wskaźnik produkcji energii u źródła dla silników elektrycznych</t>
  </si>
  <si>
    <t>współczynnik energii wyprodukowanej do wykorzystanej</t>
  </si>
  <si>
    <t>WSKAŹNIKI I ZAŁOŻENIA METODYCZNE DO ANALIZY AKK</t>
  </si>
  <si>
    <t>jednostkowo / autobus</t>
  </si>
  <si>
    <t>PLN / rok</t>
  </si>
  <si>
    <t>PLN/wzkm</t>
  </si>
  <si>
    <t>dzień</t>
  </si>
  <si>
    <t>noc</t>
  </si>
  <si>
    <t>średnio</t>
  </si>
  <si>
    <t>Koszty hałasu w transporcie drogowym dla autobusu w terenie miejskim</t>
  </si>
  <si>
    <t>rok</t>
  </si>
  <si>
    <t>Maksymalny czas użytkowania autobusów</t>
  </si>
  <si>
    <t>ubezpieczenia autobusów</t>
  </si>
  <si>
    <t>2.7.1.</t>
  </si>
  <si>
    <t>2.7.2.</t>
  </si>
  <si>
    <r>
      <t>Jednostkowy koszt CO</t>
    </r>
    <r>
      <rPr>
        <vertAlign val="subscript"/>
        <sz val="9"/>
        <rFont val="Times New Roman"/>
        <family val="1"/>
        <charset val="238"/>
      </rPr>
      <t>2</t>
    </r>
  </si>
  <si>
    <r>
      <t>PLN/tCO</t>
    </r>
    <r>
      <rPr>
        <vertAlign val="subscript"/>
        <sz val="9"/>
        <rFont val="Times New Roman"/>
        <family val="1"/>
        <charset val="238"/>
      </rPr>
      <t>2</t>
    </r>
  </si>
  <si>
    <t>Skutki zmian klimatycznych:</t>
  </si>
  <si>
    <t>Skutki zanieczyszczenia powietrza:</t>
  </si>
  <si>
    <t>2.1.3.</t>
  </si>
  <si>
    <t>Skutki emisji hałasu:</t>
  </si>
  <si>
    <t>Jednostkowy koszt hałasu uśredniony</t>
  </si>
  <si>
    <t>Koszt społeczny emisji hałasu</t>
  </si>
  <si>
    <t>Stawka amortyzacji infrastruktury elektro-energetycznej</t>
  </si>
  <si>
    <t>Vademecum CUPT, str. 27</t>
  </si>
  <si>
    <t>SO2</t>
  </si>
  <si>
    <t>Lp.</t>
  </si>
  <si>
    <r>
      <t>kgCO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/l oleju</t>
    </r>
  </si>
  <si>
    <t>Zmiany kosztów eksploatacyjnych (średniorocznie przez okres analizy)</t>
  </si>
  <si>
    <t>zł/rok</t>
  </si>
  <si>
    <r>
      <t>kgCO</t>
    </r>
    <r>
      <rPr>
        <vertAlign val="subscript"/>
        <sz val="9"/>
        <rFont val="Times New Roman"/>
        <family val="1"/>
        <charset val="238"/>
      </rPr>
      <t>2</t>
    </r>
    <r>
      <rPr>
        <sz val="9"/>
        <rFont val="Times New Roman"/>
        <family val="1"/>
        <charset val="238"/>
      </rPr>
      <t>/l</t>
    </r>
  </si>
  <si>
    <t>Niebieska Księga Drogi</t>
  </si>
  <si>
    <t>Habrat B., Jasiński T. Badanie zmian emisji hałasu drogowego w sieci drogowej. Praca dyplomowa magisterska (promotor: J. Bohatkiewicz). Politechnika Krakowska, 2011</t>
  </si>
  <si>
    <t>Rok bazowy analizy</t>
  </si>
  <si>
    <t>Ostatni rok analizy</t>
  </si>
  <si>
    <t>Faza realizacyjna</t>
  </si>
  <si>
    <t>Okres liczenia wartości rezydualnej</t>
  </si>
  <si>
    <t>Przepływy pieniężne netto</t>
  </si>
  <si>
    <t>Zdyskontowane przepływy pieniężne netto</t>
  </si>
  <si>
    <t>NPV (wartość rezydualna)</t>
  </si>
  <si>
    <t>Zdyskontowane przepływy ekonomiczne netto</t>
  </si>
  <si>
    <t>Przepływy ekonomiczne netto</t>
  </si>
  <si>
    <t>Emisja NOx</t>
  </si>
  <si>
    <t>Emisja PM</t>
  </si>
  <si>
    <t>NMHC/NMVOC</t>
  </si>
  <si>
    <t>Emisja NMHC/NMVOC</t>
  </si>
  <si>
    <t>MJ/l</t>
  </si>
  <si>
    <t>1 kWh</t>
  </si>
  <si>
    <t>=</t>
  </si>
  <si>
    <t>MJ</t>
  </si>
  <si>
    <t>kWh/l</t>
  </si>
  <si>
    <t>l/100km</t>
  </si>
  <si>
    <t>Nox</t>
  </si>
  <si>
    <t>g/kWh</t>
  </si>
  <si>
    <t>Wskaźnik korekty nakładów inwestycyjnych - infrastruktura</t>
  </si>
  <si>
    <t>Wskaźnik korekty nakładów inwestycyjnych - tabor</t>
  </si>
  <si>
    <t>Vademecum CUPT, str. 28</t>
  </si>
  <si>
    <t>średniorocznie</t>
  </si>
  <si>
    <t>świadczenia na rzecz pracowników, w tym m.in.</t>
  </si>
  <si>
    <t>The carbon footprint of projects financed by the bank, EBI</t>
  </si>
  <si>
    <t>KOSZTY UBEZPIECZENIA TABORU</t>
  </si>
  <si>
    <t xml:space="preserve">średnioroczne straty energii w sieciach 110 kV </t>
  </si>
  <si>
    <t>średnioroczne straty energii w sieciach średniego napięcia</t>
  </si>
  <si>
    <t xml:space="preserve">straty ładowarki </t>
  </si>
  <si>
    <t>straty całkowite</t>
  </si>
  <si>
    <t>3.5.</t>
  </si>
  <si>
    <t>Rok rozpoczęcia analizy</t>
  </si>
  <si>
    <t>Rok zakończenia analizy</t>
  </si>
  <si>
    <t>ON</t>
  </si>
  <si>
    <t xml:space="preserve">amortyzacja </t>
  </si>
  <si>
    <t>paliwo</t>
  </si>
  <si>
    <t>energia</t>
  </si>
  <si>
    <t>EMISJA - OBECNY TABOR</t>
  </si>
  <si>
    <t>w tym ubezpieczenie OC + AC</t>
  </si>
  <si>
    <t>Praca eksploatacyjna:</t>
  </si>
  <si>
    <t>Autobusy:</t>
  </si>
  <si>
    <r>
      <t>tCO</t>
    </r>
    <r>
      <rPr>
        <vertAlign val="subscript"/>
        <sz val="9"/>
        <rFont val="Times New Roman"/>
        <family val="1"/>
        <charset val="238"/>
      </rPr>
      <t>2</t>
    </r>
  </si>
  <si>
    <t>tNOx</t>
  </si>
  <si>
    <t>tPM</t>
  </si>
  <si>
    <t>EFEKTY ZEWNĘTRZNE</t>
  </si>
  <si>
    <t>autobusy</t>
  </si>
  <si>
    <t>infrastruktura</t>
  </si>
  <si>
    <t>Inwestycje odtworzeniowe</t>
  </si>
  <si>
    <t>EFEKTYWNOŚĆ FINANSOWA</t>
  </si>
  <si>
    <r>
      <t>Ilość CO</t>
    </r>
    <r>
      <rPr>
        <vertAlign val="subscript"/>
        <sz val="9"/>
        <rFont val="Arial"/>
        <family val="2"/>
        <charset val="238"/>
      </rPr>
      <t xml:space="preserve">2, </t>
    </r>
    <r>
      <rPr>
        <sz val="9"/>
        <rFont val="Arial"/>
        <family val="2"/>
        <charset val="238"/>
      </rPr>
      <t>w tym:</t>
    </r>
  </si>
  <si>
    <t>Maksymalny czas użytkowania infrastruktury</t>
  </si>
  <si>
    <t>PLAN INWESTYCYJNY</t>
  </si>
  <si>
    <t>autobusy elektryczne</t>
  </si>
  <si>
    <t>Autobusy elektryczne</t>
  </si>
  <si>
    <t>Kalkulator emisji CUPT</t>
  </si>
  <si>
    <t>miks energetyczny w Polsce</t>
  </si>
  <si>
    <t>tony</t>
  </si>
  <si>
    <t>w okresie analizy</t>
  </si>
  <si>
    <t>Emisja NMVOC</t>
  </si>
  <si>
    <r>
      <t>Emisja CO</t>
    </r>
    <r>
      <rPr>
        <vertAlign val="subscript"/>
        <sz val="9"/>
        <rFont val="Arial"/>
        <family val="2"/>
        <charset val="238"/>
      </rPr>
      <t>2</t>
    </r>
  </si>
  <si>
    <t>PLN/t</t>
  </si>
  <si>
    <t>średnioroczna</t>
  </si>
  <si>
    <t>suma</t>
  </si>
  <si>
    <r>
      <t>CO</t>
    </r>
    <r>
      <rPr>
        <vertAlign val="subscript"/>
        <sz val="8"/>
        <color theme="0"/>
        <rFont val="Arial"/>
        <family val="2"/>
        <charset val="238"/>
      </rPr>
      <t>2</t>
    </r>
  </si>
  <si>
    <t>Tony</t>
  </si>
  <si>
    <t>Jednostka</t>
  </si>
  <si>
    <t>Efekty zewnętrzne - wartość zdyskontowana</t>
  </si>
  <si>
    <t>PLN/rok</t>
  </si>
  <si>
    <t>wymiana baterii</t>
  </si>
  <si>
    <t xml:space="preserve">EFEKTYWNOŚĆ EKONOMICZNA </t>
  </si>
  <si>
    <t>t NMVOC</t>
  </si>
  <si>
    <t>Zanieczyszczenie środowiska - emisja lokalna - wartość zdyskontowana</t>
  </si>
  <si>
    <t>TABELA 1.</t>
  </si>
  <si>
    <t>TABELA 4.</t>
  </si>
  <si>
    <t>TABELA 5.</t>
  </si>
  <si>
    <t>TABELA 6.</t>
  </si>
  <si>
    <t>TABELA 7.</t>
  </si>
  <si>
    <t>Tabela 8.</t>
  </si>
  <si>
    <t>Liczba poddanych kasacji</t>
  </si>
  <si>
    <t>Proces ładowania autobusów elektrycznych wiąże się ze stratami energii elektrycznej podczas jej przesyłu oraz dystrybucji ze źródła do stacji ładowania. Obliczenia własne</t>
  </si>
  <si>
    <t>Żywotność baterii pokładowej w autobusie elektrycznym</t>
  </si>
  <si>
    <t>Wytyczne MRiF</t>
  </si>
  <si>
    <t>uCIT</t>
  </si>
  <si>
    <t>dane producenta</t>
  </si>
  <si>
    <t>Normy emisji autobusów ON:</t>
  </si>
  <si>
    <t>Wartość energetyczna ON</t>
  </si>
  <si>
    <t>założenia własne na podstawie przewidywanego okresu użytkowania</t>
  </si>
  <si>
    <t>Nazwa dokumentu, źródła, instytucji</t>
  </si>
  <si>
    <t>Wytyczne Ministra Rozwoju i Finansów w zakresie zagadnień związanych z przygotowaniem projektów inwestycyjnych, 
w tym projektów generujących dochód i projektów hybrydowych na lata 2014-2020; MR/H 2014-2020/7(2)/02/2017; 
wersja z 17 lutego 2017 r.</t>
  </si>
  <si>
    <t>Ustawa o podatku dochodowym od osób prawnych z dnia 15 lutego 1992 r., jednolity tekst ustawy Dz.U. z 2014 r. poz. 851,
z późniejszymi zmianami.</t>
  </si>
  <si>
    <t>Założenie własne na podstawie informacji 
od producentów</t>
  </si>
  <si>
    <t>Zestawienie własnego taboru z podziałem 
na rodzaj</t>
  </si>
  <si>
    <t>Emisje substancji szkodliwych przez elektrownie węglowe i gazowe</t>
  </si>
  <si>
    <t>RODZAJ NAPĘDU</t>
  </si>
  <si>
    <t>Cena oleju napędowego</t>
  </si>
  <si>
    <t>Cena energii elektrycznej</t>
  </si>
  <si>
    <t xml:space="preserve">Praca eksploatacyjna </t>
  </si>
  <si>
    <t>PLAN PRACY EKSPLOATACYJNEJ</t>
  </si>
  <si>
    <t>Tabela 9.</t>
  </si>
  <si>
    <t>części, materiały eksploatacyjne i inne</t>
  </si>
  <si>
    <t>KOSZTY BEZPOŚREDNIE EKSPLOATACJI AUTOBUSÓW</t>
  </si>
  <si>
    <t>energia, w tym:</t>
  </si>
  <si>
    <t xml:space="preserve"> Wartość rezydualna</t>
  </si>
  <si>
    <t xml:space="preserve"> Koszty operacyjne bez amortyzacji</t>
  </si>
  <si>
    <t xml:space="preserve"> Inwestycje</t>
  </si>
  <si>
    <t xml:space="preserve"> autobusy</t>
  </si>
  <si>
    <t xml:space="preserve"> infrastruktura</t>
  </si>
  <si>
    <t xml:space="preserve"> Odtworzenia</t>
  </si>
  <si>
    <t>Bezpośrednie koszty eksploatacji autobusu (zużycie materiałów)</t>
  </si>
  <si>
    <t>Bezpośrednie koszty eksploatacji autobusu (usługi obce)</t>
  </si>
  <si>
    <r>
      <t>CO</t>
    </r>
    <r>
      <rPr>
        <vertAlign val="subscript"/>
        <sz val="9"/>
        <color theme="0"/>
        <rFont val="Arial"/>
        <family val="2"/>
        <charset val="238"/>
      </rPr>
      <t>2</t>
    </r>
  </si>
  <si>
    <t>Koszty eksploatacji infrastrukury:</t>
  </si>
  <si>
    <t>Koszt serwisu stacji ładowania na zajezdni</t>
  </si>
  <si>
    <t>Koszt serwisu stacji ładowania na pętlach</t>
  </si>
  <si>
    <t>Zmiany klimatyczne - emisja CO2 wartość zdyskontowana</t>
  </si>
  <si>
    <t>Redukcja hałasu</t>
  </si>
  <si>
    <t>Infrastruktura + pozostałe koszty</t>
  </si>
  <si>
    <t>Autobusy z wyposażeniem</t>
  </si>
  <si>
    <t>Zestawienie</t>
  </si>
  <si>
    <r>
      <t xml:space="preserve"> </t>
    </r>
    <r>
      <rPr>
        <i/>
        <sz val="9"/>
        <rFont val="Arial"/>
        <family val="2"/>
        <charset val="238"/>
      </rPr>
      <t>indeksacja o 0,8 prognozy dynamiki PKB per capita</t>
    </r>
  </si>
  <si>
    <t>wzrost kosztów eksploatacji (remonty, zużycie materiałów) w odniesieniu do średniego wieku autobusów</t>
  </si>
  <si>
    <t>%/ rok</t>
  </si>
  <si>
    <t>średnia wieku autobusów w danym roku</t>
  </si>
  <si>
    <t>Przychody</t>
  </si>
  <si>
    <t xml:space="preserve"> Przychody</t>
  </si>
  <si>
    <t>linii</t>
  </si>
  <si>
    <t>Liczba</t>
  </si>
  <si>
    <t>mieszkańców</t>
  </si>
  <si>
    <t>[osób]</t>
  </si>
  <si>
    <t>Długość</t>
  </si>
  <si>
    <t>[km]</t>
  </si>
  <si>
    <t>Wskaźnik</t>
  </si>
  <si>
    <t>[osób/km]</t>
  </si>
  <si>
    <r>
      <t>[osób/km</t>
    </r>
    <r>
      <rPr>
        <b/>
        <vertAlign val="superscript"/>
        <sz val="9"/>
        <rFont val="Arial"/>
        <family val="2"/>
        <charset val="238"/>
      </rPr>
      <t>2</t>
    </r>
    <r>
      <rPr>
        <b/>
        <sz val="9"/>
        <rFont val="Arial"/>
        <family val="2"/>
        <charset val="238"/>
      </rPr>
      <t>]</t>
    </r>
  </si>
  <si>
    <t>krotność</t>
  </si>
  <si>
    <t>w stosunku do</t>
  </si>
  <si>
    <t>wzrost</t>
  </si>
  <si>
    <t>[%]</t>
  </si>
  <si>
    <t>całego</t>
  </si>
  <si>
    <t>obszaru</t>
  </si>
  <si>
    <t>miast</t>
  </si>
  <si>
    <t>w Polsce</t>
  </si>
  <si>
    <t>Polski</t>
  </si>
  <si>
    <t>Udział w emisji z transportu drogowego autobusów i pojazdów ciężkich</t>
  </si>
  <si>
    <t>KALKULACJA LUKI FINANSOWEJ PROJEKTU</t>
  </si>
  <si>
    <t>I.</t>
  </si>
  <si>
    <t>Określenie wskaźnika luki finansowej</t>
  </si>
  <si>
    <t xml:space="preserve">DIC </t>
  </si>
  <si>
    <t>DNR</t>
  </si>
  <si>
    <t>Max EE (DIC - DNR)</t>
  </si>
  <si>
    <t>R = Max EE / DIC</t>
  </si>
  <si>
    <t>II.</t>
  </si>
  <si>
    <t>Określenie kwoty decyzji DA</t>
  </si>
  <si>
    <t>EC</t>
  </si>
  <si>
    <t>III.</t>
  </si>
  <si>
    <t>Określenie maksymalnej dotacji</t>
  </si>
  <si>
    <t>Max UE = DA * Max Crpa</t>
  </si>
  <si>
    <t>TABELA 8.</t>
  </si>
  <si>
    <t xml:space="preserve">  zdyskontowane przychody bez wartości rezydualnej</t>
  </si>
  <si>
    <t>Przeciętnie</t>
  </si>
  <si>
    <t>POPYT NA USŁUGI TRANSPORTOWE</t>
  </si>
  <si>
    <t>Przychody z biletów</t>
  </si>
  <si>
    <t>Wariant 1</t>
  </si>
  <si>
    <t>Wariant 2</t>
  </si>
  <si>
    <t>CNG</t>
  </si>
  <si>
    <t>RAZEM</t>
  </si>
  <si>
    <t>ELEKTRYCZNE</t>
  </si>
  <si>
    <t>ON:</t>
  </si>
  <si>
    <t>ELEKTRYCZNY</t>
  </si>
  <si>
    <t>Liczba zakupionych</t>
  </si>
  <si>
    <t>Liczba zakupionych autobusów</t>
  </si>
  <si>
    <t>narzuty na wynagrodzenia</t>
  </si>
  <si>
    <t>2.1.2.1.</t>
  </si>
  <si>
    <t>autobusy ON</t>
  </si>
  <si>
    <t>Wskaźnik emisji CO2 dla ON</t>
  </si>
  <si>
    <r>
      <t>tCO</t>
    </r>
    <r>
      <rPr>
        <vertAlign val="subscript"/>
        <sz val="9"/>
        <rFont val="Times New Roman"/>
        <family val="1"/>
        <charset val="238"/>
      </rPr>
      <t>2</t>
    </r>
    <r>
      <rPr>
        <sz val="11"/>
        <color theme="1"/>
        <rFont val="Calibri"/>
        <family val="2"/>
        <charset val="238"/>
        <scheme val="minor"/>
      </rPr>
      <t/>
    </r>
  </si>
  <si>
    <t>[mln zł]</t>
  </si>
  <si>
    <t>[mln wzkm]</t>
  </si>
  <si>
    <t>Praca eksploatacyjna - Plan</t>
  </si>
  <si>
    <t>Koszt zakupu autobusów</t>
  </si>
  <si>
    <t>Plan zakupów</t>
  </si>
  <si>
    <t>Koszt zakupu</t>
  </si>
  <si>
    <t>cena jedn. netto</t>
  </si>
  <si>
    <t>Typ</t>
  </si>
  <si>
    <t>Wymiana baterii</t>
  </si>
  <si>
    <t>3.4.</t>
  </si>
  <si>
    <t>autobusy ON E6 hybryda</t>
  </si>
  <si>
    <t>Liczba stacji ładowania szybkiego</t>
  </si>
  <si>
    <t>Liczba stacji ładowania na zajezdni</t>
  </si>
  <si>
    <t>założenia własne na podstawie danych EKOEnergetyka</t>
  </si>
  <si>
    <t>zł/rok/szt</t>
  </si>
  <si>
    <t>Koszt serwisu stacji szybkiego ładowania</t>
  </si>
  <si>
    <t>bez amortyzacji</t>
  </si>
  <si>
    <t xml:space="preserve">Kalkulacja dla scenariusza bazowego </t>
  </si>
  <si>
    <t>Stawka amortyzacji budynków i budowli</t>
  </si>
  <si>
    <t>nie dotyczy</t>
  </si>
  <si>
    <t>średnia gęstość Polska</t>
  </si>
  <si>
    <t>średnia gęstość miasta Polska</t>
  </si>
  <si>
    <t>Koszty bezpośrednie</t>
  </si>
  <si>
    <t>A.</t>
  </si>
  <si>
    <t>SPALANIE - TABOR</t>
  </si>
  <si>
    <t>Dane producenta</t>
  </si>
  <si>
    <t>ŹRÓDŁO / UWAGI</t>
  </si>
  <si>
    <t>Zestawienie własnego taboru z podziałem
na rodzaj</t>
  </si>
  <si>
    <t>Koszty emisji zanieczyszczeń w transporcie lądowym:</t>
  </si>
  <si>
    <t>Liczba przewiezionych pasażerów i przychody 
z biletów</t>
  </si>
  <si>
    <r>
      <t>Wskaźnik emisji CO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 przez silnik ON</t>
    </r>
  </si>
  <si>
    <t>norma</t>
  </si>
  <si>
    <t>Analiza kosztów i korzyści projektów transportowych współfinansowanych ze środków Unii Europejskiej, Vademecum Beneficjenta, CUPT , Warszawa 2016 r.</t>
  </si>
  <si>
    <t>Niebieska Księga. Nowa edycja. Sektor Transportu Publicznego w miastach, aglomeracjach, regionach, Inicjatywa JASPERS, sierpień 2015 r.</t>
  </si>
  <si>
    <t xml:space="preserve">  zdyskontowane koszty</t>
  </si>
  <si>
    <t>DA = EC * R, gdzie EC - całkowite koszty kwalifikowane z rezerwą</t>
  </si>
  <si>
    <t>Kalkulacja wartości rezydualnej metodą dochodową - dla analizy ekonomicznej</t>
  </si>
  <si>
    <t>Kalkulacja wartości rezydualnej metodą dochodową - dla analizy finansowej</t>
  </si>
  <si>
    <t>Niebieska Księga. Nowa edycja. Infrastruktura Drogowa, Inicjatywa JASPERS, sierpień 2015 r.</t>
  </si>
  <si>
    <t>Max Crpa = Maksymalna stopa współfinansowania określona dla osi priorytetowej</t>
  </si>
  <si>
    <t>EL</t>
  </si>
  <si>
    <t>TROLEJBUS</t>
  </si>
  <si>
    <t>TR</t>
  </si>
  <si>
    <t>wzkm/autobus</t>
  </si>
  <si>
    <t>PLAN ILOŚCIOWY TABORU I PRACY EKSLPOATACYJNEJ</t>
  </si>
  <si>
    <t>kg/100 km</t>
  </si>
  <si>
    <t>dane LOTOS</t>
  </si>
  <si>
    <t>średnie spalanie nowego autobusu wodorowego 18m</t>
  </si>
  <si>
    <t>na podstawie doświadczeń eksploatacyjnych operatorów</t>
  </si>
  <si>
    <t>dane producentów</t>
  </si>
  <si>
    <t>Serwis butli gazowej</t>
  </si>
  <si>
    <t>niepoliczalna</t>
  </si>
  <si>
    <t>Koszty inwestycyjne w odniesienu do scenariusza porównawczego, razem</t>
  </si>
  <si>
    <t>Hybryda</t>
  </si>
  <si>
    <t>ON hybryda</t>
  </si>
  <si>
    <t>Liczba wozokilometrów w 2021 r.</t>
  </si>
  <si>
    <t>ON Hybryda</t>
  </si>
  <si>
    <t>Przyszły miks energetyczny Polski – determinanty, narzędzia i prognozy, Instrat - Fundacja Inicjatyw Strategicznych, grudzień 2019, scenariusz według Krajowego planu na rzecz energii i klimatu na lata 2021-2030</t>
  </si>
  <si>
    <r>
      <t>Emisja CO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 przy produkcji energii elektr. - miks energetyczny dla Polski</t>
    </r>
  </si>
  <si>
    <t>Dane wyjściowe - Kalkulator emisji CUPT. Prognoza na podstawie Scenariusz Polityki energetyczno-klimatycznej (PEK). Ocena skutków planowanych polityk i środków. Załącznik 2. do Krajowego planu na rzecz energii i klimatu na lata 2021-2030</t>
  </si>
  <si>
    <t>Liczba pasażerów</t>
  </si>
  <si>
    <t>Scenariusz bazowy</t>
  </si>
  <si>
    <t>Wariant 1
konwencjonalny</t>
  </si>
  <si>
    <t>Wariant 3</t>
  </si>
  <si>
    <t>Wariant konwencjonalny</t>
  </si>
  <si>
    <t>ogumienie</t>
  </si>
  <si>
    <t>części zamienne</t>
  </si>
  <si>
    <t>pozostałe materiały</t>
  </si>
  <si>
    <t>B.</t>
  </si>
  <si>
    <t>Wariant 1. Konwencjonalny</t>
  </si>
  <si>
    <t>pozostałe koszty</t>
  </si>
  <si>
    <t>Koszty wydziałowe i ogólne</t>
  </si>
  <si>
    <t>założenia własne na podstawie danych rynkowych</t>
  </si>
  <si>
    <t>12 m elektryczne</t>
  </si>
  <si>
    <t>EURO I</t>
  </si>
  <si>
    <t>EURO III</t>
  </si>
  <si>
    <t>EURO IV</t>
  </si>
  <si>
    <t>EURO V</t>
  </si>
  <si>
    <t>EURO VI</t>
  </si>
  <si>
    <t>EURO VI HYBRYDA</t>
  </si>
  <si>
    <t>EURO II</t>
  </si>
  <si>
    <t>EURO VI i EURO VI Hybryda</t>
  </si>
  <si>
    <t>Autobusy ON EURO VI</t>
  </si>
  <si>
    <t>Autobusy ON EURO VI HYBRYDA</t>
  </si>
  <si>
    <t>WARIANT 3. Elektryczny 2</t>
  </si>
  <si>
    <t>WARIANT 2.  Elektryczny 1</t>
  </si>
  <si>
    <t>EURO V i EEV</t>
  </si>
  <si>
    <t>EURO VI hybryda</t>
  </si>
  <si>
    <t>Stawka amortyzacji autobusów ON EURO VI</t>
  </si>
  <si>
    <t>Kalkulacja dla wariantu elektrycznego 2</t>
  </si>
  <si>
    <t>Kalkulacja dla wariantu elektrycznego 1</t>
  </si>
  <si>
    <t>Wariant elektryczny 1</t>
  </si>
  <si>
    <t>Wariant elektryczny 2</t>
  </si>
  <si>
    <t>Maksymalny czas użytkowania autobusu elektrycznego</t>
  </si>
  <si>
    <t>Wariant 2
elektryczny 1</t>
  </si>
  <si>
    <t>Stawka amortyzacji autobusów elektrycznych</t>
  </si>
  <si>
    <t>Współczynnik kosztów eksploatacji autobusów elektrycznych w stosunku do diesel (materiały 
i usługi obce)</t>
  </si>
  <si>
    <t>Liczba posiadanych autobusów, w tym:</t>
  </si>
  <si>
    <t>KOSZTY</t>
  </si>
  <si>
    <t>Redukcja hałasu - autobus elektryczny vs. autobus ON</t>
  </si>
  <si>
    <t>Wskaźnik korygujacy wycenę kosztu zanieczyszczeń ze względu na zagęszczenie ludności
na obszarze analizowanym</t>
  </si>
  <si>
    <t>Redukcja hałasu - nowy autobus ON EURO VI vs. autobus ON używany</t>
  </si>
  <si>
    <t>Redukcja hałasu - nowy autobus ON Hybrydowy EURO VI vs. autobus ON używany</t>
  </si>
  <si>
    <t>Koszty ogólne</t>
  </si>
  <si>
    <t>Autobusy ON EURO I - EURO V</t>
  </si>
  <si>
    <t>ubezpieczenie komunikacyjne</t>
  </si>
  <si>
    <t>Średnia liczba wozokilometrów na autobus ON</t>
  </si>
  <si>
    <t>Średnia liczba wozokilometrów na autobus ON hybryda</t>
  </si>
  <si>
    <t>Średnia liczba wozokilometrów na autobus ELEKTRYCZNY</t>
  </si>
  <si>
    <t>Średnia liczba wozokilometrów na autobus ON poniżej 10 m</t>
  </si>
  <si>
    <t>Maksymalny czas użytkowania autobusów ON</t>
  </si>
  <si>
    <t>Maksymalny czas użytkowania autobusów elektrycznych</t>
  </si>
  <si>
    <t>świadczenia na rzecz pracowników</t>
  </si>
  <si>
    <t>[tys. osób]</t>
  </si>
  <si>
    <t>Wariant 3
elektryczny 2</t>
  </si>
  <si>
    <t>średnie zużycie energii autobusu z silnikiem elektr. 12 m z baterią 350 kWh</t>
  </si>
  <si>
    <t>18 m</t>
  </si>
  <si>
    <t>rodzaj autobusu - 18 m</t>
  </si>
  <si>
    <t>ELBLĄG AKK</t>
  </si>
  <si>
    <t>poniżej 10m</t>
  </si>
  <si>
    <t>od 10 m</t>
  </si>
  <si>
    <t>poniżej 10 m</t>
  </si>
  <si>
    <t>rodzaj autobusu - poniżej 10 m</t>
  </si>
  <si>
    <t>rodzaj autobusu - od 10 m</t>
  </si>
  <si>
    <t>dane rynkowe</t>
  </si>
  <si>
    <t>Autobusy poniżej 10 m</t>
  </si>
  <si>
    <t>ON poniżej 10 m</t>
  </si>
  <si>
    <t>8 m</t>
  </si>
  <si>
    <t>8 m ON (używane)</t>
  </si>
  <si>
    <t>Koszt zakupu używanego autobusu 8 m ON</t>
  </si>
  <si>
    <t>Koszt zakupu nowego autobusu 8 m ON</t>
  </si>
  <si>
    <t>średnie zużycie energii autobusu z silnikiem elektr. 10 m z baterią 120 kWh</t>
  </si>
  <si>
    <t>8 m ON (nowe)</t>
  </si>
  <si>
    <t>10 m elektryczne</t>
  </si>
  <si>
    <t>10 m</t>
  </si>
  <si>
    <t>Współczynnik wzrostu kosztów eksploatacji używanych autobusów w stosunku do nowych autobusów (materiały i usługi obce)</t>
  </si>
  <si>
    <t>koszt wymiany baterii do autobusu 12 m [160 kW] - uwzględnia odsprzedaż baterii wymienianych</t>
  </si>
  <si>
    <t>dane producentów, prognozy rynkowe - Bloomberg New Energy Finance (BNEF);  bateria LTO 160 kW, koszt 120 USD/KWh</t>
  </si>
  <si>
    <t>koszt wymiany baterii do autobusu 12 m [350 kW] - uwzględnia odsprzedaż baterii wymienianych</t>
  </si>
  <si>
    <t>dane producentów, prognozy rynkowe - Bloomberg New Energy Finance (BNEF);  bateria LTO 350 kW, koszt 120 USD/KWh</t>
  </si>
  <si>
    <t>ZKM w Elblągu sp. z o.o.</t>
  </si>
  <si>
    <t>ZKM</t>
  </si>
  <si>
    <t>założenia własne</t>
  </si>
  <si>
    <t>obliczenia na podstawie danych ZKM</t>
  </si>
  <si>
    <t>Koszt zakupu nowego autobusu 10 m elektrycznego z baterią 350 kWh</t>
  </si>
  <si>
    <t>Koszt zakupu nowego autobusu 10 m elektrycznego z baterią 160 kWh</t>
  </si>
  <si>
    <t>12 m</t>
  </si>
  <si>
    <t>https://www.cupt.gov.pl/index.php?option=com_content&amp;view=article&amp;id=692&amp;Itemid=411
Pobranie z dnia 25-10-2021</t>
  </si>
  <si>
    <t>Aktualizacja tablic kosztów jednostkowych do wykorzystania w analizach kosztów i korzyści; Wersja - aktualizacja 28.08.2020. CUPT,  https://www.cupt.gov.pl/wdrazanie-projektow/analiza-kosztow-i-korzysci/narzedzia/tablice-kosztow-jednostkowych-do-wykorzystania-w-analizach-kosztow-i-korzysci
Pobranie z dnia 25-10-2021</t>
  </si>
  <si>
    <t>ZAZ A-10</t>
  </si>
  <si>
    <t>Iveco Crossway low entry</t>
  </si>
  <si>
    <t>średnia gęstość zaludnienia - Elbląg</t>
  </si>
  <si>
    <t>ZESTAWIENIE FLOTY AUTOBUSOWEJ - stan na 08.2021 r.</t>
  </si>
  <si>
    <r>
      <t>Zużycie paliwa 
ON: l/100 km
CNG m</t>
    </r>
    <r>
      <rPr>
        <b/>
        <vertAlign val="superscript"/>
        <sz val="9"/>
        <color theme="0"/>
        <rFont val="Arial"/>
        <family val="2"/>
        <charset val="238"/>
      </rPr>
      <t>3</t>
    </r>
    <r>
      <rPr>
        <b/>
        <sz val="9"/>
        <color theme="0"/>
        <rFont val="Arial"/>
        <family val="2"/>
        <charset val="238"/>
      </rPr>
      <t>/100km</t>
    </r>
  </si>
  <si>
    <t>obliczenia własne na podstawie danych ZKM</t>
  </si>
  <si>
    <t>Plan ZKM na 2021 rok (struktura kosztów - własne założenia, na podstawie danych sektorowych)</t>
  </si>
  <si>
    <t>Koszt zakupu używanego autobusu 10-11 m ON</t>
  </si>
  <si>
    <t>Koszt zakupu nowego autobusu 10-11 m ON</t>
  </si>
  <si>
    <t>10-11 m ON (używane)</t>
  </si>
  <si>
    <t>10-11 m</t>
  </si>
  <si>
    <t>10-11 m ON (nowe)</t>
  </si>
  <si>
    <t>Kalkulacja dla wariantu konwencjonalnego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</si>
</sst>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0.000"/>
    <numFmt numFmtId="166" formatCode="#,##0.000"/>
    <numFmt numFmtId="167" formatCode="0.0%"/>
    <numFmt numFmtId="168" formatCode="0.0;0.0;&quot;&quot;"/>
    <numFmt numFmtId="169" formatCode="#,##0.0"/>
    <numFmt numFmtId="170" formatCode="&quot;&quot;;&quot;&quot;;&quot;&quot;"/>
    <numFmt numFmtId="171" formatCode="0.00000"/>
    <numFmt numFmtId="172" formatCode="0.0"/>
    <numFmt numFmtId="173" formatCode="0.00000%"/>
    <numFmt numFmtId="174" formatCode="#,##0.000000"/>
    <numFmt numFmtId="175" formatCode="0.0000"/>
    <numFmt numFmtId="176" formatCode="#,##0.00000"/>
    <numFmt numFmtId="177" formatCode="_-* #,##0.000\ _z_ł_-;\-* #,##0.000\ _z_ł_-;_-* &quot;-&quot;??\ _z_ł_-;_-@_-"/>
  </numFmts>
  <fonts count="82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</font>
    <font>
      <sz val="10"/>
      <name val="Arial CE"/>
      <charset val="238"/>
    </font>
    <font>
      <sz val="10"/>
      <name val="MS Sans Serif"/>
      <family val="2"/>
    </font>
    <font>
      <sz val="10"/>
      <name val="Arial"/>
      <family val="2"/>
    </font>
    <font>
      <sz val="10"/>
      <name val="Helv"/>
    </font>
    <font>
      <b/>
      <sz val="9"/>
      <color indexed="9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indexed="22"/>
      <name val="Arial"/>
      <family val="2"/>
      <charset val="238"/>
    </font>
    <font>
      <i/>
      <sz val="9"/>
      <name val="Arial"/>
      <family val="2"/>
      <charset val="238"/>
    </font>
    <font>
      <b/>
      <i/>
      <sz val="9"/>
      <color indexed="10"/>
      <name val="Arial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0"/>
      <color indexed="9"/>
      <name val="Arial"/>
      <family val="2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</font>
    <font>
      <sz val="9"/>
      <name val="Times New Roman"/>
      <family val="1"/>
      <charset val="238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  <charset val="238"/>
    </font>
    <font>
      <sz val="10"/>
      <color indexed="8"/>
      <name val="Arial"/>
      <family val="2"/>
    </font>
    <font>
      <b/>
      <u/>
      <sz val="10"/>
      <name val="Arial"/>
      <family val="2"/>
    </font>
    <font>
      <sz val="10"/>
      <color theme="0"/>
      <name val="Arial"/>
      <family val="2"/>
      <charset val="238"/>
    </font>
    <font>
      <sz val="11"/>
      <color theme="1"/>
      <name val="Calibri"/>
      <family val="2"/>
      <scheme val="minor"/>
    </font>
    <font>
      <sz val="8"/>
      <color theme="0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vertAlign val="subscript"/>
      <sz val="9"/>
      <name val="Arial"/>
      <family val="2"/>
      <charset val="238"/>
    </font>
    <font>
      <sz val="8"/>
      <color theme="0" tint="-0.499984740745262"/>
      <name val="Arial"/>
      <family val="2"/>
      <charset val="238"/>
    </font>
    <font>
      <b/>
      <sz val="9"/>
      <color rgb="FFFF0000"/>
      <name val="Arial"/>
      <family val="2"/>
      <charset val="238"/>
    </font>
    <font>
      <vertAlign val="subscript"/>
      <sz val="9"/>
      <name val="Times New Roman"/>
      <family val="1"/>
      <charset val="238"/>
    </font>
    <font>
      <sz val="8"/>
      <color indexed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b/>
      <i/>
      <sz val="9"/>
      <color indexed="9"/>
      <name val="Arial"/>
      <family val="2"/>
      <charset val="238"/>
    </font>
    <font>
      <sz val="10"/>
      <name val="Arial CE"/>
    </font>
    <font>
      <sz val="9"/>
      <name val="Tahoma"/>
      <family val="2"/>
      <charset val="238"/>
    </font>
    <font>
      <sz val="9"/>
      <color rgb="FF000000"/>
      <name val="Tahoma"/>
      <family val="2"/>
      <charset val="238"/>
    </font>
    <font>
      <b/>
      <sz val="9"/>
      <color theme="4"/>
      <name val="Arial"/>
      <family val="2"/>
      <charset val="238"/>
    </font>
    <font>
      <vertAlign val="subscript"/>
      <sz val="8"/>
      <color theme="0"/>
      <name val="Arial"/>
      <family val="2"/>
      <charset val="238"/>
    </font>
    <font>
      <sz val="9"/>
      <name val="Webdings"/>
      <family val="1"/>
      <charset val="238"/>
    </font>
    <font>
      <sz val="9"/>
      <color indexed="9"/>
      <name val="Arial"/>
      <family val="2"/>
      <charset val="238"/>
    </font>
    <font>
      <b/>
      <sz val="9"/>
      <color indexed="22"/>
      <name val="Arial"/>
      <family val="2"/>
      <charset val="238"/>
    </font>
    <font>
      <vertAlign val="subscript"/>
      <sz val="9"/>
      <color theme="0"/>
      <name val="Arial"/>
      <family val="2"/>
      <charset val="238"/>
    </font>
    <font>
      <sz val="9"/>
      <color theme="0" tint="-0.499984740745262"/>
      <name val="Arial"/>
      <family val="2"/>
      <charset val="238"/>
    </font>
    <font>
      <sz val="9"/>
      <color theme="3" tint="0.39997558519241921"/>
      <name val="Arial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b/>
      <vertAlign val="superscript"/>
      <sz val="9"/>
      <name val="Arial"/>
      <family val="2"/>
      <charset val="238"/>
    </font>
    <font>
      <b/>
      <vertAlign val="superscript"/>
      <sz val="9"/>
      <color theme="0"/>
      <name val="Arial"/>
      <family val="2"/>
      <charset val="238"/>
    </font>
    <font>
      <sz val="9"/>
      <color rgb="FFC00000"/>
      <name val="Arial"/>
      <family val="2"/>
      <charset val="238"/>
    </font>
    <font>
      <sz val="9"/>
      <color theme="4" tint="-0.249977111117893"/>
      <name val="Arial"/>
      <family val="2"/>
      <charset val="238"/>
    </font>
    <font>
      <b/>
      <i/>
      <sz val="9"/>
      <name val="Arial"/>
      <family val="2"/>
      <charset val="238"/>
    </font>
    <font>
      <b/>
      <sz val="11"/>
      <name val="Calibri"/>
      <family val="2"/>
      <charset val="238"/>
    </font>
    <font>
      <sz val="9"/>
      <color theme="4" tint="0.39997558519241921"/>
      <name val="Arial"/>
      <family val="2"/>
      <charset val="238"/>
    </font>
    <font>
      <sz val="9"/>
      <color theme="0"/>
      <name val="Arial"/>
      <family val="2"/>
    </font>
    <font>
      <b/>
      <sz val="9"/>
      <color rgb="FFFF0000"/>
      <name val="Calibri"/>
      <family val="2"/>
      <charset val="23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CADD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3D3D3"/>
      </patternFill>
    </fill>
    <fill>
      <patternFill patternType="solid">
        <fgColor rgb="FFC0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6">
    <xf numFmtId="0" fontId="0" fillId="0" borderId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8" borderId="0" applyNumberFormat="0" applyBorder="0" applyAlignment="0" applyProtection="0"/>
    <xf numFmtId="0" fontId="19" fillId="2" borderId="1" applyNumberFormat="0" applyAlignment="0" applyProtection="0"/>
    <xf numFmtId="0" fontId="20" fillId="9" borderId="2" applyNumberFormat="0" applyAlignment="0" applyProtection="0"/>
    <xf numFmtId="164" fontId="6" fillId="0" borderId="0" applyFont="0" applyFill="0" applyBorder="0" applyAlignment="0" applyProtection="0"/>
    <xf numFmtId="0" fontId="21" fillId="0" borderId="3" applyNumberFormat="0" applyFill="0" applyAlignment="0" applyProtection="0"/>
    <xf numFmtId="0" fontId="22" fillId="10" borderId="4" applyNumberFormat="0" applyAlignment="0" applyProtection="0"/>
    <xf numFmtId="38" fontId="9" fillId="0" borderId="0" applyFont="0" applyFill="0" applyBorder="0" applyAlignment="0" applyProtection="0"/>
    <xf numFmtId="4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4" fontId="11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5" fillId="0" borderId="0" applyNumberFormat="0" applyFill="0" applyBorder="0" applyAlignment="0" applyProtection="0"/>
    <xf numFmtId="170" fontId="8" fillId="0" borderId="0"/>
    <xf numFmtId="0" fontId="9" fillId="0" borderId="0"/>
    <xf numFmtId="0" fontId="26" fillId="9" borderId="1" applyNumberFormat="0" applyAlignment="0" applyProtection="0"/>
    <xf numFmtId="9" fontId="6" fillId="0" borderId="0" applyFont="0" applyFill="0" applyBorder="0" applyAlignment="0" applyProtection="0"/>
    <xf numFmtId="0" fontId="27" fillId="0" borderId="8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0" fillId="11" borderId="9" applyNumberFormat="0" applyFont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7" fillId="0" borderId="0"/>
    <xf numFmtId="0" fontId="47" fillId="0" borderId="0"/>
    <xf numFmtId="0" fontId="6" fillId="0" borderId="0"/>
    <xf numFmtId="44" fontId="6" fillId="0" borderId="0" applyFont="0" applyFill="0" applyBorder="0" applyAlignment="0" applyProtection="0"/>
    <xf numFmtId="0" fontId="6" fillId="0" borderId="0"/>
    <xf numFmtId="0" fontId="56" fillId="0" borderId="0" applyNumberFormat="0" applyFill="0" applyBorder="0" applyAlignment="0" applyProtection="0">
      <alignment vertical="top"/>
    </xf>
    <xf numFmtId="0" fontId="57" fillId="0" borderId="0"/>
    <xf numFmtId="0" fontId="58" fillId="0" borderId="0"/>
    <xf numFmtId="0" fontId="57" fillId="0" borderId="0"/>
    <xf numFmtId="9" fontId="58" fillId="0" borderId="0" applyFont="0" applyFill="0" applyBorder="0" applyAlignment="0" applyProtection="0"/>
    <xf numFmtId="0" fontId="5" fillId="0" borderId="0"/>
    <xf numFmtId="0" fontId="47" fillId="0" borderId="0"/>
    <xf numFmtId="0" fontId="4" fillId="0" borderId="0"/>
    <xf numFmtId="164" fontId="4" fillId="0" borderId="0" applyFont="0" applyFill="0" applyBorder="0" applyAlignment="0" applyProtection="0"/>
    <xf numFmtId="0" fontId="60" fillId="0" borderId="0"/>
    <xf numFmtId="0" fontId="71" fillId="0" borderId="0"/>
    <xf numFmtId="0" fontId="72" fillId="27" borderId="53">
      <alignment horizontal="left" vertical="center" wrapText="1"/>
    </xf>
    <xf numFmtId="0" fontId="8" fillId="0" borderId="0"/>
    <xf numFmtId="9" fontId="71" fillId="0" borderId="0" applyFont="0" applyFill="0" applyBorder="0" applyAlignment="0" applyProtection="0"/>
    <xf numFmtId="0" fontId="72" fillId="27" borderId="53">
      <alignment horizontal="left" vertical="center" wrapText="1"/>
    </xf>
    <xf numFmtId="0" fontId="3" fillId="0" borderId="0"/>
    <xf numFmtId="9" fontId="3" fillId="0" borderId="0" applyFont="0" applyFill="0" applyBorder="0" applyAlignment="0" applyProtection="0"/>
    <xf numFmtId="0" fontId="71" fillId="0" borderId="0"/>
  </cellStyleXfs>
  <cellXfs count="669">
    <xf numFmtId="0" fontId="0" fillId="0" borderId="0" xfId="0"/>
    <xf numFmtId="0" fontId="14" fillId="0" borderId="0" xfId="0" applyFont="1"/>
    <xf numFmtId="0" fontId="12" fillId="0" borderId="0" xfId="0" applyFont="1" applyFill="1" applyBorder="1"/>
    <xf numFmtId="0" fontId="13" fillId="0" borderId="0" xfId="0" applyFont="1" applyFill="1" applyBorder="1" applyAlignment="1">
      <alignment horizontal="center"/>
    </xf>
    <xf numFmtId="0" fontId="14" fillId="0" borderId="0" xfId="0" applyFont="1" applyFill="1" applyBorder="1"/>
    <xf numFmtId="0" fontId="14" fillId="0" borderId="11" xfId="0" applyFont="1" applyFill="1" applyBorder="1" applyAlignment="1">
      <alignment horizontal="center"/>
    </xf>
    <xf numFmtId="0" fontId="14" fillId="0" borderId="0" xfId="0" applyFont="1" applyFill="1"/>
    <xf numFmtId="171" fontId="14" fillId="0" borderId="0" xfId="0" applyNumberFormat="1" applyFont="1"/>
    <xf numFmtId="1" fontId="14" fillId="0" borderId="11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3" fontId="14" fillId="0" borderId="0" xfId="0" applyNumberFormat="1" applyFont="1"/>
    <xf numFmtId="2" fontId="14" fillId="0" borderId="0" xfId="0" applyNumberFormat="1" applyFont="1" applyFill="1" applyBorder="1" applyAlignment="1">
      <alignment horizontal="center"/>
    </xf>
    <xf numFmtId="0" fontId="14" fillId="0" borderId="0" xfId="0" applyFont="1" applyBorder="1"/>
    <xf numFmtId="0" fontId="13" fillId="0" borderId="0" xfId="0" applyFont="1"/>
    <xf numFmtId="0" fontId="12" fillId="0" borderId="0" xfId="0" applyFont="1" applyFill="1" applyBorder="1" applyAlignment="1">
      <alignment horizontal="left" vertical="center" wrapText="1"/>
    </xf>
    <xf numFmtId="4" fontId="14" fillId="0" borderId="0" xfId="0" applyNumberFormat="1" applyFont="1" applyFill="1" applyBorder="1" applyAlignment="1">
      <alignment horizontal="center" vertical="center"/>
    </xf>
    <xf numFmtId="3" fontId="17" fillId="0" borderId="0" xfId="0" applyNumberFormat="1" applyFont="1" applyFill="1" applyBorder="1" applyAlignment="1">
      <alignment horizontal="center"/>
    </xf>
    <xf numFmtId="3" fontId="14" fillId="0" borderId="0" xfId="0" applyNumberFormat="1" applyFont="1" applyFill="1" applyBorder="1"/>
    <xf numFmtId="0" fontId="14" fillId="12" borderId="0" xfId="0" applyFont="1" applyFill="1"/>
    <xf numFmtId="3" fontId="13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Border="1" applyAlignment="1">
      <alignment horizontal="right" vertical="center"/>
    </xf>
    <xf numFmtId="3" fontId="13" fillId="0" borderId="11" xfId="0" applyNumberFormat="1" applyFont="1" applyFill="1" applyBorder="1" applyAlignment="1">
      <alignment horizontal="right" vertical="center"/>
    </xf>
    <xf numFmtId="3" fontId="14" fillId="0" borderId="11" xfId="0" applyNumberFormat="1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31" fillId="0" borderId="0" xfId="0" applyFont="1"/>
    <xf numFmtId="0" fontId="7" fillId="0" borderId="0" xfId="0" applyFont="1"/>
    <xf numFmtId="0" fontId="34" fillId="0" borderId="0" xfId="0" applyFont="1"/>
    <xf numFmtId="3" fontId="14" fillId="0" borderId="11" xfId="0" applyNumberFormat="1" applyFont="1" applyBorder="1"/>
    <xf numFmtId="0" fontId="31" fillId="0" borderId="0" xfId="0" applyFont="1" applyFill="1"/>
    <xf numFmtId="3" fontId="32" fillId="0" borderId="0" xfId="0" applyNumberFormat="1" applyFont="1" applyFill="1" applyBorder="1" applyAlignment="1">
      <alignment horizontal="right" vertical="center"/>
    </xf>
    <xf numFmtId="0" fontId="32" fillId="0" borderId="0" xfId="0" applyFont="1"/>
    <xf numFmtId="0" fontId="13" fillId="0" borderId="0" xfId="0" applyFont="1" applyFill="1"/>
    <xf numFmtId="166" fontId="14" fillId="0" borderId="11" xfId="0" applyNumberFormat="1" applyFont="1" applyFill="1" applyBorder="1" applyAlignment="1">
      <alignment horizontal="right" vertical="center"/>
    </xf>
    <xf numFmtId="10" fontId="14" fillId="0" borderId="11" xfId="25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7" fillId="0" borderId="0" xfId="0" applyFont="1" applyFill="1" applyBorder="1" applyAlignment="1">
      <alignment horizontal="center"/>
    </xf>
    <xf numFmtId="10" fontId="14" fillId="0" borderId="0" xfId="25" applyNumberFormat="1" applyFont="1" applyFill="1" applyBorder="1" applyAlignment="1">
      <alignment horizontal="center" vertical="center"/>
    </xf>
    <xf numFmtId="4" fontId="14" fillId="0" borderId="11" xfId="0" applyNumberFormat="1" applyFont="1" applyFill="1" applyBorder="1" applyAlignment="1">
      <alignment horizontal="right" vertical="center"/>
    </xf>
    <xf numFmtId="3" fontId="13" fillId="0" borderId="11" xfId="0" applyNumberFormat="1" applyFont="1" applyFill="1" applyBorder="1"/>
    <xf numFmtId="0" fontId="12" fillId="0" borderId="0" xfId="0" applyFont="1" applyFill="1" applyBorder="1" applyAlignment="1">
      <alignment horizontal="left"/>
    </xf>
    <xf numFmtId="0" fontId="0" fillId="0" borderId="0" xfId="0" applyFill="1"/>
    <xf numFmtId="3" fontId="14" fillId="0" borderId="0" xfId="0" applyNumberFormat="1" applyFont="1" applyBorder="1"/>
    <xf numFmtId="4" fontId="14" fillId="0" borderId="0" xfId="0" applyNumberFormat="1" applyFont="1" applyFill="1" applyBorder="1"/>
    <xf numFmtId="0" fontId="36" fillId="0" borderId="0" xfId="0" applyFont="1"/>
    <xf numFmtId="0" fontId="13" fillId="0" borderId="0" xfId="0" applyFont="1" applyFill="1" applyBorder="1" applyAlignment="1">
      <alignment horizontal="right"/>
    </xf>
    <xf numFmtId="165" fontId="0" fillId="0" borderId="0" xfId="0" applyNumberFormat="1" applyFill="1" applyBorder="1"/>
    <xf numFmtId="3" fontId="14" fillId="0" borderId="0" xfId="0" applyNumberFormat="1" applyFont="1" applyFill="1"/>
    <xf numFmtId="10" fontId="14" fillId="0" borderId="0" xfId="25" applyNumberFormat="1" applyFont="1" applyFill="1" applyBorder="1" applyAlignment="1">
      <alignment horizontal="center"/>
    </xf>
    <xf numFmtId="3" fontId="0" fillId="0" borderId="0" xfId="0" applyNumberFormat="1" applyFill="1" applyBorder="1"/>
    <xf numFmtId="0" fontId="38" fillId="0" borderId="0" xfId="0" applyFont="1" applyFill="1" applyAlignment="1">
      <alignment horizontal="right"/>
    </xf>
    <xf numFmtId="0" fontId="40" fillId="0" borderId="0" xfId="0" applyFont="1" applyFill="1"/>
    <xf numFmtId="0" fontId="41" fillId="0" borderId="0" xfId="0" applyFont="1" applyFill="1"/>
    <xf numFmtId="2" fontId="0" fillId="0" borderId="0" xfId="0" applyNumberFormat="1" applyFill="1" applyBorder="1"/>
    <xf numFmtId="169" fontId="0" fillId="0" borderId="0" xfId="0" applyNumberFormat="1" applyFill="1" applyBorder="1"/>
    <xf numFmtId="3" fontId="39" fillId="0" borderId="0" xfId="0" applyNumberFormat="1" applyFont="1" applyFill="1" applyBorder="1"/>
    <xf numFmtId="0" fontId="41" fillId="0" borderId="0" xfId="0" applyFont="1" applyFill="1" applyBorder="1"/>
    <xf numFmtId="167" fontId="43" fillId="0" borderId="0" xfId="25" applyNumberFormat="1" applyFont="1" applyFill="1" applyBorder="1"/>
    <xf numFmtId="167" fontId="0" fillId="0" borderId="0" xfId="0" applyNumberFormat="1" applyFill="1" applyBorder="1"/>
    <xf numFmtId="9" fontId="0" fillId="0" borderId="0" xfId="0" applyNumberFormat="1" applyFill="1" applyBorder="1"/>
    <xf numFmtId="0" fontId="44" fillId="0" borderId="0" xfId="0" applyFont="1" applyFill="1" applyBorder="1" applyAlignment="1">
      <alignment vertical="top"/>
    </xf>
    <xf numFmtId="0" fontId="10" fillId="0" borderId="0" xfId="0" applyFont="1" applyFill="1" applyBorder="1"/>
    <xf numFmtId="0" fontId="45" fillId="0" borderId="0" xfId="0" applyFont="1" applyFill="1" applyBorder="1"/>
    <xf numFmtId="0" fontId="39" fillId="0" borderId="0" xfId="0" applyFont="1" applyFill="1" applyBorder="1" applyAlignment="1">
      <alignment horizontal="center"/>
    </xf>
    <xf numFmtId="166" fontId="0" fillId="0" borderId="0" xfId="0" applyNumberFormat="1" applyFill="1" applyBorder="1"/>
    <xf numFmtId="0" fontId="40" fillId="0" borderId="0" xfId="0" applyFont="1" applyFill="1" applyBorder="1"/>
    <xf numFmtId="0" fontId="38" fillId="0" borderId="0" xfId="0" applyFont="1" applyFill="1" applyBorder="1" applyAlignment="1">
      <alignment horizontal="right"/>
    </xf>
    <xf numFmtId="0" fontId="42" fillId="0" borderId="0" xfId="0" applyFont="1" applyFill="1" applyBorder="1" applyAlignment="1">
      <alignment vertical="center"/>
    </xf>
    <xf numFmtId="0" fontId="42" fillId="0" borderId="0" xfId="0" applyFont="1" applyFill="1" applyBorder="1" applyAlignment="1">
      <alignment horizontal="center"/>
    </xf>
    <xf numFmtId="3" fontId="0" fillId="0" borderId="0" xfId="0" applyNumberFormat="1" applyFill="1" applyBorder="1" applyProtection="1">
      <protection locked="0"/>
    </xf>
    <xf numFmtId="3" fontId="42" fillId="0" borderId="0" xfId="0" applyNumberFormat="1" applyFont="1" applyFill="1" applyBorder="1" applyAlignment="1">
      <alignment horizontal="center"/>
    </xf>
    <xf numFmtId="2" fontId="10" fillId="0" borderId="0" xfId="0" applyNumberFormat="1" applyFont="1" applyFill="1" applyBorder="1" applyProtection="1">
      <protection locked="0"/>
    </xf>
    <xf numFmtId="172" fontId="0" fillId="0" borderId="0" xfId="0" applyNumberFormat="1" applyFill="1" applyBorder="1" applyProtection="1">
      <protection locked="0"/>
    </xf>
    <xf numFmtId="0" fontId="46" fillId="0" borderId="0" xfId="0" applyFont="1" applyFill="1" applyBorder="1"/>
    <xf numFmtId="0" fontId="42" fillId="0" borderId="0" xfId="0" applyFont="1" applyFill="1" applyBorder="1" applyAlignment="1">
      <alignment horizontal="center" vertical="center" wrapText="1"/>
    </xf>
    <xf numFmtId="3" fontId="31" fillId="0" borderId="0" xfId="0" applyNumberFormat="1" applyFont="1" applyFill="1" applyBorder="1"/>
    <xf numFmtId="3" fontId="35" fillId="0" borderId="0" xfId="0" applyNumberFormat="1" applyFont="1" applyFill="1" applyBorder="1"/>
    <xf numFmtId="0" fontId="39" fillId="0" borderId="0" xfId="0" applyFont="1" applyFill="1" applyBorder="1" applyAlignment="1">
      <alignment vertical="center"/>
    </xf>
    <xf numFmtId="3" fontId="39" fillId="0" borderId="0" xfId="0" applyNumberFormat="1" applyFont="1" applyFill="1" applyBorder="1" applyAlignment="1">
      <alignment vertical="center"/>
    </xf>
    <xf numFmtId="4" fontId="39" fillId="0" borderId="0" xfId="0" applyNumberFormat="1" applyFont="1" applyFill="1" applyBorder="1" applyAlignment="1">
      <alignment vertical="center"/>
    </xf>
    <xf numFmtId="0" fontId="33" fillId="0" borderId="0" xfId="0" applyFont="1" applyFill="1" applyBorder="1"/>
    <xf numFmtId="0" fontId="39" fillId="0" borderId="0" xfId="0" applyFont="1" applyFill="1" applyBorder="1"/>
    <xf numFmtId="3" fontId="14" fillId="0" borderId="11" xfId="0" applyNumberFormat="1" applyFont="1" applyFill="1" applyBorder="1" applyAlignment="1">
      <alignment horizontal="right" vertical="center" wrapText="1"/>
    </xf>
    <xf numFmtId="0" fontId="14" fillId="0" borderId="0" xfId="0" applyFont="1" applyAlignment="1">
      <alignment horizontal="center"/>
    </xf>
    <xf numFmtId="1" fontId="14" fillId="0" borderId="0" xfId="0" applyNumberFormat="1" applyFont="1" applyAlignment="1">
      <alignment horizontal="center"/>
    </xf>
    <xf numFmtId="0" fontId="48" fillId="16" borderId="0" xfId="0" applyFont="1" applyFill="1"/>
    <xf numFmtId="1" fontId="12" fillId="0" borderId="0" xfId="0" applyNumberFormat="1" applyFont="1" applyFill="1" applyBorder="1" applyAlignment="1">
      <alignment horizontal="center" vertical="center"/>
    </xf>
    <xf numFmtId="4" fontId="14" fillId="0" borderId="0" xfId="0" applyNumberFormat="1" applyFont="1" applyFill="1" applyBorder="1" applyAlignment="1">
      <alignment horizontal="right" vertical="center"/>
    </xf>
    <xf numFmtId="0" fontId="50" fillId="19" borderId="11" xfId="0" applyFont="1" applyFill="1" applyBorder="1" applyAlignment="1">
      <alignment horizontal="center"/>
    </xf>
    <xf numFmtId="1" fontId="50" fillId="19" borderId="11" xfId="0" applyNumberFormat="1" applyFont="1" applyFill="1" applyBorder="1" applyAlignment="1">
      <alignment horizontal="center" vertical="center"/>
    </xf>
    <xf numFmtId="0" fontId="12" fillId="19" borderId="11" xfId="0" applyFont="1" applyFill="1" applyBorder="1" applyAlignment="1">
      <alignment horizontal="left"/>
    </xf>
    <xf numFmtId="4" fontId="13" fillId="0" borderId="0" xfId="0" applyNumberFormat="1" applyFont="1" applyFill="1" applyBorder="1" applyAlignment="1">
      <alignment horizontal="right" vertical="center"/>
    </xf>
    <xf numFmtId="174" fontId="14" fillId="0" borderId="0" xfId="0" applyNumberFormat="1" applyFont="1" applyFill="1" applyBorder="1"/>
    <xf numFmtId="4" fontId="51" fillId="0" borderId="0" xfId="0" applyNumberFormat="1" applyFont="1" applyFill="1" applyBorder="1" applyAlignment="1">
      <alignment horizontal="right" vertical="center"/>
    </xf>
    <xf numFmtId="0" fontId="51" fillId="16" borderId="0" xfId="0" applyFont="1" applyFill="1"/>
    <xf numFmtId="0" fontId="14" fillId="0" borderId="0" xfId="0" applyFont="1" applyAlignment="1">
      <alignment horizontal="right"/>
    </xf>
    <xf numFmtId="0" fontId="14" fillId="0" borderId="11" xfId="0" applyFont="1" applyBorder="1"/>
    <xf numFmtId="0" fontId="51" fillId="19" borderId="0" xfId="0" applyFont="1" applyFill="1"/>
    <xf numFmtId="4" fontId="14" fillId="0" borderId="11" xfId="0" applyNumberFormat="1" applyFont="1" applyBorder="1"/>
    <xf numFmtId="0" fontId="14" fillId="0" borderId="0" xfId="0" applyFont="1" applyAlignment="1">
      <alignment wrapText="1"/>
    </xf>
    <xf numFmtId="0" fontId="51" fillId="19" borderId="0" xfId="0" applyFont="1" applyFill="1" applyAlignment="1">
      <alignment wrapText="1"/>
    </xf>
    <xf numFmtId="3" fontId="13" fillId="0" borderId="11" xfId="0" applyNumberFormat="1" applyFont="1" applyBorder="1"/>
    <xf numFmtId="3" fontId="13" fillId="0" borderId="0" xfId="0" applyNumberFormat="1" applyFont="1" applyFill="1"/>
    <xf numFmtId="164" fontId="14" fillId="0" borderId="0" xfId="9" applyFont="1"/>
    <xf numFmtId="0" fontId="7" fillId="18" borderId="11" xfId="0" applyFont="1" applyFill="1" applyBorder="1" applyAlignment="1">
      <alignment horizontal="center"/>
    </xf>
    <xf numFmtId="3" fontId="14" fillId="0" borderId="11" xfId="0" applyNumberFormat="1" applyFont="1" applyFill="1" applyBorder="1" applyAlignment="1">
      <alignment horizontal="right"/>
    </xf>
    <xf numFmtId="3" fontId="13" fillId="0" borderId="11" xfId="0" applyNumberFormat="1" applyFont="1" applyFill="1" applyBorder="1" applyAlignment="1">
      <alignment horizontal="right"/>
    </xf>
    <xf numFmtId="0" fontId="13" fillId="0" borderId="0" xfId="0" applyFont="1" applyAlignment="1">
      <alignment horizontal="right"/>
    </xf>
    <xf numFmtId="3" fontId="14" fillId="17" borderId="11" xfId="0" applyNumberFormat="1" applyFont="1" applyFill="1" applyBorder="1" applyAlignment="1">
      <alignment horizontal="left" vertical="center"/>
    </xf>
    <xf numFmtId="3" fontId="13" fillId="17" borderId="11" xfId="0" applyNumberFormat="1" applyFont="1" applyFill="1" applyBorder="1" applyAlignment="1">
      <alignment horizontal="left" vertical="center"/>
    </xf>
    <xf numFmtId="1" fontId="14" fillId="17" borderId="11" xfId="0" applyNumberFormat="1" applyFont="1" applyFill="1" applyBorder="1" applyAlignment="1">
      <alignment horizontal="left" vertical="center"/>
    </xf>
    <xf numFmtId="3" fontId="14" fillId="17" borderId="11" xfId="0" applyNumberFormat="1" applyFont="1" applyFill="1" applyBorder="1" applyAlignment="1">
      <alignment vertical="center" wrapText="1"/>
    </xf>
    <xf numFmtId="3" fontId="14" fillId="17" borderId="11" xfId="0" applyNumberFormat="1" applyFont="1" applyFill="1" applyBorder="1" applyAlignment="1">
      <alignment vertical="center"/>
    </xf>
    <xf numFmtId="0" fontId="14" fillId="0" borderId="0" xfId="0" applyFont="1" applyFill="1" applyAlignment="1">
      <alignment horizontal="right"/>
    </xf>
    <xf numFmtId="3" fontId="14" fillId="0" borderId="0" xfId="0" applyNumberFormat="1" applyFont="1" applyFill="1" applyBorder="1" applyAlignment="1">
      <alignment vertical="center"/>
    </xf>
    <xf numFmtId="3" fontId="13" fillId="20" borderId="11" xfId="0" applyNumberFormat="1" applyFont="1" applyFill="1" applyBorder="1" applyAlignment="1">
      <alignment horizontal="right" vertical="center"/>
    </xf>
    <xf numFmtId="1" fontId="50" fillId="22" borderId="11" xfId="0" applyNumberFormat="1" applyFont="1" applyFill="1" applyBorder="1" applyAlignment="1">
      <alignment horizontal="left" vertical="center"/>
    </xf>
    <xf numFmtId="1" fontId="13" fillId="17" borderId="11" xfId="0" applyNumberFormat="1" applyFont="1" applyFill="1" applyBorder="1" applyAlignment="1">
      <alignment horizontal="left" vertical="center"/>
    </xf>
    <xf numFmtId="10" fontId="32" fillId="0" borderId="0" xfId="25" applyNumberFormat="1" applyFont="1" applyFill="1" applyBorder="1" applyAlignment="1">
      <alignment horizontal="right" vertical="center"/>
    </xf>
    <xf numFmtId="173" fontId="32" fillId="0" borderId="0" xfId="25" applyNumberFormat="1" applyFont="1" applyFill="1" applyBorder="1" applyAlignment="1">
      <alignment horizontal="right" vertical="center"/>
    </xf>
    <xf numFmtId="10" fontId="49" fillId="0" borderId="0" xfId="25" applyNumberFormat="1" applyFont="1" applyFill="1" applyBorder="1" applyAlignment="1">
      <alignment horizontal="right" vertical="center"/>
    </xf>
    <xf numFmtId="1" fontId="50" fillId="0" borderId="0" xfId="0" applyNumberFormat="1" applyFont="1" applyFill="1" applyBorder="1" applyAlignment="1">
      <alignment horizontal="left" vertical="center"/>
    </xf>
    <xf numFmtId="0" fontId="32" fillId="0" borderId="0" xfId="0" applyFont="1" applyFill="1" applyBorder="1"/>
    <xf numFmtId="1" fontId="14" fillId="17" borderId="11" xfId="0" applyNumberFormat="1" applyFont="1" applyFill="1" applyBorder="1" applyAlignment="1">
      <alignment horizontal="left" vertical="center" wrapText="1"/>
    </xf>
    <xf numFmtId="3" fontId="13" fillId="20" borderId="11" xfId="0" applyNumberFormat="1" applyFont="1" applyFill="1" applyBorder="1" applyAlignment="1">
      <alignment horizontal="right"/>
    </xf>
    <xf numFmtId="4" fontId="49" fillId="22" borderId="14" xfId="25" applyNumberFormat="1" applyFont="1" applyFill="1" applyBorder="1" applyAlignment="1">
      <alignment horizontal="right" vertical="center"/>
    </xf>
    <xf numFmtId="0" fontId="42" fillId="0" borderId="0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center" vertical="center" wrapText="1"/>
    </xf>
    <xf numFmtId="4" fontId="14" fillId="0" borderId="0" xfId="25" applyNumberFormat="1" applyFont="1" applyFill="1" applyBorder="1" applyAlignment="1">
      <alignment horizontal="center"/>
    </xf>
    <xf numFmtId="0" fontId="14" fillId="24" borderId="11" xfId="0" applyFont="1" applyFill="1" applyBorder="1"/>
    <xf numFmtId="0" fontId="13" fillId="24" borderId="11" xfId="0" applyFont="1" applyFill="1" applyBorder="1"/>
    <xf numFmtId="0" fontId="12" fillId="19" borderId="14" xfId="0" applyFont="1" applyFill="1" applyBorder="1" applyAlignment="1">
      <alignment horizontal="left"/>
    </xf>
    <xf numFmtId="0" fontId="48" fillId="16" borderId="0" xfId="0" applyFont="1" applyFill="1" applyAlignment="1">
      <alignment horizontal="center"/>
    </xf>
    <xf numFmtId="3" fontId="14" fillId="0" borderId="11" xfId="25" applyNumberFormat="1" applyFont="1" applyFill="1" applyBorder="1" applyAlignment="1">
      <alignment horizontal="right"/>
    </xf>
    <xf numFmtId="10" fontId="14" fillId="0" borderId="11" xfId="25" applyNumberFormat="1" applyFont="1" applyFill="1" applyBorder="1" applyAlignment="1">
      <alignment horizontal="right"/>
    </xf>
    <xf numFmtId="167" fontId="14" fillId="0" borderId="26" xfId="25" applyNumberFormat="1" applyFont="1" applyFill="1" applyBorder="1" applyAlignment="1">
      <alignment horizontal="right"/>
    </xf>
    <xf numFmtId="167" fontId="14" fillId="0" borderId="13" xfId="25" applyNumberFormat="1" applyFont="1" applyFill="1" applyBorder="1" applyAlignment="1">
      <alignment horizontal="right"/>
    </xf>
    <xf numFmtId="4" fontId="14" fillId="0" borderId="11" xfId="25" applyNumberFormat="1" applyFont="1" applyFill="1" applyBorder="1" applyAlignment="1">
      <alignment horizontal="right"/>
    </xf>
    <xf numFmtId="3" fontId="14" fillId="0" borderId="0" xfId="25" applyNumberFormat="1" applyFont="1" applyFill="1" applyBorder="1" applyAlignment="1">
      <alignment horizontal="right"/>
    </xf>
    <xf numFmtId="174" fontId="14" fillId="0" borderId="11" xfId="25" applyNumberFormat="1" applyFont="1" applyFill="1" applyBorder="1" applyAlignment="1">
      <alignment horizontal="right"/>
    </xf>
    <xf numFmtId="0" fontId="14" fillId="24" borderId="12" xfId="0" applyFont="1" applyFill="1" applyBorder="1"/>
    <xf numFmtId="0" fontId="13" fillId="24" borderId="12" xfId="0" applyFont="1" applyFill="1" applyBorder="1"/>
    <xf numFmtId="0" fontId="12" fillId="16" borderId="12" xfId="0" applyFont="1" applyFill="1" applyBorder="1" applyAlignment="1">
      <alignment horizontal="left"/>
    </xf>
    <xf numFmtId="0" fontId="14" fillId="24" borderId="12" xfId="0" applyFont="1" applyFill="1" applyBorder="1" applyAlignment="1">
      <alignment horizontal="center"/>
    </xf>
    <xf numFmtId="4" fontId="14" fillId="0" borderId="11" xfId="25" applyNumberFormat="1" applyFont="1" applyFill="1" applyBorder="1" applyAlignment="1">
      <alignment horizontal="center"/>
    </xf>
    <xf numFmtId="169" fontId="14" fillId="0" borderId="11" xfId="25" applyNumberFormat="1" applyFont="1" applyFill="1" applyBorder="1" applyAlignment="1">
      <alignment horizontal="right"/>
    </xf>
    <xf numFmtId="3" fontId="14" fillId="20" borderId="12" xfId="25" applyNumberFormat="1" applyFont="1" applyFill="1" applyBorder="1" applyAlignment="1">
      <alignment horizontal="right"/>
    </xf>
    <xf numFmtId="0" fontId="14" fillId="24" borderId="11" xfId="0" applyFont="1" applyFill="1" applyBorder="1" applyAlignment="1">
      <alignment horizontal="center"/>
    </xf>
    <xf numFmtId="169" fontId="14" fillId="0" borderId="11" xfId="25" applyNumberFormat="1" applyFont="1" applyFill="1" applyBorder="1" applyAlignment="1"/>
    <xf numFmtId="166" fontId="14" fillId="0" borderId="11" xfId="25" applyNumberFormat="1" applyFont="1" applyFill="1" applyBorder="1" applyAlignment="1">
      <alignment horizontal="right"/>
    </xf>
    <xf numFmtId="0" fontId="14" fillId="0" borderId="0" xfId="0" applyFont="1" applyFill="1" applyAlignment="1">
      <alignment horizontal="center"/>
    </xf>
    <xf numFmtId="1" fontId="14" fillId="0" borderId="0" xfId="0" applyNumberFormat="1" applyFont="1" applyFill="1" applyAlignment="1">
      <alignment horizontal="center"/>
    </xf>
    <xf numFmtId="1" fontId="50" fillId="19" borderId="12" xfId="0" applyNumberFormat="1" applyFont="1" applyFill="1" applyBorder="1" applyAlignment="1">
      <alignment horizontal="center" vertical="center"/>
    </xf>
    <xf numFmtId="1" fontId="50" fillId="19" borderId="26" xfId="0" applyNumberFormat="1" applyFont="1" applyFill="1" applyBorder="1" applyAlignment="1">
      <alignment horizontal="center" vertical="center"/>
    </xf>
    <xf numFmtId="1" fontId="50" fillId="0" borderId="0" xfId="0" applyNumberFormat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 wrapText="1"/>
    </xf>
    <xf numFmtId="4" fontId="14" fillId="0" borderId="0" xfId="25" applyNumberFormat="1" applyFont="1" applyFill="1" applyBorder="1" applyAlignment="1">
      <alignment horizontal="right"/>
    </xf>
    <xf numFmtId="3" fontId="13" fillId="15" borderId="11" xfId="0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/>
    </xf>
    <xf numFmtId="166" fontId="14" fillId="20" borderId="12" xfId="25" applyNumberFormat="1" applyFont="1" applyFill="1" applyBorder="1" applyAlignment="1">
      <alignment horizontal="right"/>
    </xf>
    <xf numFmtId="175" fontId="54" fillId="0" borderId="0" xfId="0" applyNumberFormat="1" applyFont="1" applyFill="1" applyBorder="1" applyAlignment="1">
      <alignment horizontal="center" vertical="center"/>
    </xf>
    <xf numFmtId="166" fontId="14" fillId="20" borderId="0" xfId="25" applyNumberFormat="1" applyFont="1" applyFill="1" applyBorder="1" applyAlignment="1">
      <alignment horizontal="right"/>
    </xf>
    <xf numFmtId="166" fontId="14" fillId="0" borderId="0" xfId="25" applyNumberFormat="1" applyFont="1" applyFill="1" applyBorder="1" applyAlignment="1">
      <alignment horizontal="right"/>
    </xf>
    <xf numFmtId="0" fontId="13" fillId="0" borderId="0" xfId="0" applyFont="1" applyFill="1" applyBorder="1"/>
    <xf numFmtId="4" fontId="14" fillId="0" borderId="11" xfId="25" applyNumberFormat="1" applyFont="1" applyFill="1" applyBorder="1" applyAlignment="1"/>
    <xf numFmtId="3" fontId="13" fillId="17" borderId="11" xfId="0" applyNumberFormat="1" applyFont="1" applyFill="1" applyBorder="1" applyAlignment="1">
      <alignment vertical="center" wrapText="1"/>
    </xf>
    <xf numFmtId="3" fontId="13" fillId="17" borderId="11" xfId="0" applyNumberFormat="1" applyFont="1" applyFill="1" applyBorder="1" applyAlignment="1">
      <alignment vertical="center"/>
    </xf>
    <xf numFmtId="0" fontId="34" fillId="17" borderId="0" xfId="0" applyFont="1" applyFill="1" applyAlignment="1">
      <alignment horizontal="center"/>
    </xf>
    <xf numFmtId="165" fontId="14" fillId="0" borderId="0" xfId="0" applyNumberFormat="1" applyFont="1" applyFill="1" applyBorder="1" applyAlignment="1">
      <alignment vertical="center" wrapText="1"/>
    </xf>
    <xf numFmtId="165" fontId="14" fillId="0" borderId="0" xfId="0" applyNumberFormat="1" applyFont="1" applyFill="1" applyBorder="1" applyAlignment="1">
      <alignment horizontal="right"/>
    </xf>
    <xf numFmtId="1" fontId="13" fillId="0" borderId="0" xfId="0" applyNumberFormat="1" applyFont="1" applyFill="1" applyBorder="1" applyAlignment="1">
      <alignment horizontal="center" vertical="center" wrapText="1"/>
    </xf>
    <xf numFmtId="3" fontId="13" fillId="0" borderId="11" xfId="0" applyNumberFormat="1" applyFont="1" applyFill="1" applyBorder="1" applyAlignment="1">
      <alignment horizontal="center"/>
    </xf>
    <xf numFmtId="176" fontId="14" fillId="0" borderId="11" xfId="0" applyNumberFormat="1" applyFont="1" applyFill="1" applyBorder="1" applyAlignment="1">
      <alignment horizontal="right"/>
    </xf>
    <xf numFmtId="4" fontId="14" fillId="0" borderId="11" xfId="0" applyNumberFormat="1" applyFont="1" applyFill="1" applyBorder="1" applyAlignment="1">
      <alignment horizontal="right"/>
    </xf>
    <xf numFmtId="9" fontId="14" fillId="0" borderId="11" xfId="25" applyFont="1" applyFill="1" applyBorder="1" applyAlignment="1">
      <alignment horizontal="right"/>
    </xf>
    <xf numFmtId="3" fontId="14" fillId="0" borderId="0" xfId="0" applyNumberFormat="1" applyFont="1" applyFill="1" applyBorder="1" applyAlignment="1">
      <alignment horizontal="right"/>
    </xf>
    <xf numFmtId="3" fontId="14" fillId="0" borderId="0" xfId="0" applyNumberFormat="1" applyFont="1" applyFill="1" applyBorder="1" applyAlignment="1">
      <alignment vertical="center" wrapText="1"/>
    </xf>
    <xf numFmtId="0" fontId="36" fillId="0" borderId="0" xfId="0" applyFont="1" applyFill="1"/>
    <xf numFmtId="3" fontId="14" fillId="0" borderId="0" xfId="0" applyNumberFormat="1" applyFont="1" applyFill="1" applyBorder="1" applyAlignment="1">
      <alignment horizontal="right" vertical="center" wrapText="1"/>
    </xf>
    <xf numFmtId="3" fontId="49" fillId="22" borderId="15" xfId="0" applyNumberFormat="1" applyFont="1" applyFill="1" applyBorder="1" applyAlignment="1">
      <alignment horizontal="right" vertical="center"/>
    </xf>
    <xf numFmtId="0" fontId="39" fillId="0" borderId="0" xfId="0" applyFont="1" applyFill="1" applyBorder="1" applyAlignment="1">
      <alignment horizontal="left" wrapText="1"/>
    </xf>
    <xf numFmtId="0" fontId="42" fillId="0" borderId="0" xfId="0" applyFont="1" applyFill="1" applyBorder="1" applyAlignment="1">
      <alignment horizontal="center" vertical="center" wrapText="1"/>
    </xf>
    <xf numFmtId="10" fontId="14" fillId="0" borderId="0" xfId="25" applyNumberFormat="1" applyFont="1"/>
    <xf numFmtId="0" fontId="33" fillId="0" borderId="0" xfId="0" applyFont="1" applyFill="1" applyAlignment="1">
      <alignment horizontal="center"/>
    </xf>
    <xf numFmtId="10" fontId="14" fillId="0" borderId="11" xfId="25" applyNumberFormat="1" applyFont="1" applyFill="1" applyBorder="1" applyAlignment="1">
      <alignment horizontal="left"/>
    </xf>
    <xf numFmtId="0" fontId="14" fillId="18" borderId="0" xfId="0" applyFont="1" applyFill="1" applyBorder="1"/>
    <xf numFmtId="0" fontId="14" fillId="18" borderId="0" xfId="0" applyFont="1" applyFill="1" applyBorder="1" applyAlignment="1">
      <alignment horizontal="center"/>
    </xf>
    <xf numFmtId="4" fontId="13" fillId="0" borderId="0" xfId="0" applyNumberFormat="1" applyFont="1" applyFill="1" applyBorder="1" applyAlignment="1">
      <alignment horizontal="right" vertical="center" wrapText="1"/>
    </xf>
    <xf numFmtId="49" fontId="50" fillId="19" borderId="32" xfId="0" applyNumberFormat="1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9" fontId="14" fillId="0" borderId="11" xfId="25" applyNumberFormat="1" applyFont="1" applyFill="1" applyBorder="1" applyAlignment="1">
      <alignment horizontal="right"/>
    </xf>
    <xf numFmtId="4" fontId="13" fillId="0" borderId="11" xfId="0" applyNumberFormat="1" applyFont="1" applyFill="1" applyBorder="1" applyAlignment="1">
      <alignment horizontal="right"/>
    </xf>
    <xf numFmtId="3" fontId="14" fillId="17" borderId="0" xfId="0" applyNumberFormat="1" applyFont="1" applyFill="1" applyBorder="1" applyAlignment="1">
      <alignment vertical="center"/>
    </xf>
    <xf numFmtId="172" fontId="53" fillId="0" borderId="0" xfId="0" applyNumberFormat="1" applyFont="1" applyFill="1" applyAlignment="1">
      <alignment horizontal="center"/>
    </xf>
    <xf numFmtId="169" fontId="14" fillId="0" borderId="0" xfId="25" applyNumberFormat="1" applyFont="1" applyFill="1" applyBorder="1" applyAlignment="1"/>
    <xf numFmtId="3" fontId="13" fillId="0" borderId="0" xfId="25" applyNumberFormat="1" applyFont="1" applyFill="1" applyBorder="1" applyAlignment="1">
      <alignment horizontal="right"/>
    </xf>
    <xf numFmtId="4" fontId="14" fillId="0" borderId="11" xfId="0" applyNumberFormat="1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/>
    </xf>
    <xf numFmtId="177" fontId="14" fillId="0" borderId="11" xfId="9" applyNumberFormat="1" applyFont="1" applyFill="1" applyBorder="1" applyAlignment="1">
      <alignment horizontal="right" vertical="center" wrapText="1"/>
    </xf>
    <xf numFmtId="165" fontId="14" fillId="0" borderId="11" xfId="0" applyNumberFormat="1" applyFont="1" applyFill="1" applyBorder="1" applyAlignment="1">
      <alignment vertical="center" wrapText="1"/>
    </xf>
    <xf numFmtId="3" fontId="54" fillId="0" borderId="0" xfId="0" applyNumberFormat="1" applyFont="1" applyFill="1" applyBorder="1" applyAlignment="1">
      <alignment horizontal="right" vertical="center"/>
    </xf>
    <xf numFmtId="3" fontId="13" fillId="13" borderId="11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left" wrapText="1"/>
    </xf>
    <xf numFmtId="0" fontId="42" fillId="0" borderId="0" xfId="0" applyFont="1" applyFill="1" applyBorder="1" applyAlignment="1">
      <alignment vertical="center" wrapText="1"/>
    </xf>
    <xf numFmtId="1" fontId="50" fillId="19" borderId="35" xfId="0" applyNumberFormat="1" applyFont="1" applyFill="1" applyBorder="1" applyAlignment="1">
      <alignment horizontal="center" vertical="center" wrapText="1"/>
    </xf>
    <xf numFmtId="0" fontId="61" fillId="25" borderId="0" xfId="0" applyFont="1" applyFill="1" applyBorder="1" applyAlignment="1">
      <alignment vertical="center" wrapText="1"/>
    </xf>
    <xf numFmtId="0" fontId="12" fillId="16" borderId="13" xfId="0" applyFont="1" applyFill="1" applyBorder="1" applyAlignment="1">
      <alignment horizontal="left"/>
    </xf>
    <xf numFmtId="0" fontId="62" fillId="0" borderId="11" xfId="0" applyFont="1" applyBorder="1" applyAlignment="1">
      <alignment vertical="center"/>
    </xf>
    <xf numFmtId="10" fontId="13" fillId="0" borderId="0" xfId="25" applyNumberFormat="1" applyFont="1" applyFill="1" applyBorder="1" applyAlignment="1">
      <alignment horizontal="right" vertical="center"/>
    </xf>
    <xf numFmtId="0" fontId="13" fillId="23" borderId="0" xfId="0" applyFont="1" applyFill="1" applyBorder="1"/>
    <xf numFmtId="1" fontId="50" fillId="19" borderId="32" xfId="0" applyNumberFormat="1" applyFont="1" applyFill="1" applyBorder="1" applyAlignment="1">
      <alignment horizontal="center" vertical="center"/>
    </xf>
    <xf numFmtId="0" fontId="14" fillId="18" borderId="11" xfId="0" applyFont="1" applyFill="1" applyBorder="1" applyAlignment="1">
      <alignment horizontal="center"/>
    </xf>
    <xf numFmtId="0" fontId="14" fillId="18" borderId="11" xfId="0" applyFont="1" applyFill="1" applyBorder="1"/>
    <xf numFmtId="3" fontId="13" fillId="0" borderId="11" xfId="25" applyNumberFormat="1" applyFont="1" applyFill="1" applyBorder="1" applyAlignment="1">
      <alignment horizontal="right"/>
    </xf>
    <xf numFmtId="0" fontId="16" fillId="0" borderId="11" xfId="0" applyFont="1" applyFill="1" applyBorder="1" applyAlignment="1">
      <alignment horizontal="center" vertical="center" wrapText="1"/>
    </xf>
    <xf numFmtId="1" fontId="14" fillId="0" borderId="11" xfId="0" applyNumberFormat="1" applyFont="1" applyFill="1" applyBorder="1" applyAlignment="1">
      <alignment horizontal="right" vertical="center" wrapText="1"/>
    </xf>
    <xf numFmtId="1" fontId="14" fillId="0" borderId="0" xfId="0" applyNumberFormat="1" applyFont="1"/>
    <xf numFmtId="1" fontId="63" fillId="0" borderId="0" xfId="0" applyNumberFormat="1" applyFont="1" applyFill="1" applyBorder="1" applyAlignment="1">
      <alignment horizontal="center" vertical="center" wrapText="1"/>
    </xf>
    <xf numFmtId="0" fontId="14" fillId="18" borderId="20" xfId="0" applyFont="1" applyFill="1" applyBorder="1" applyAlignment="1">
      <alignment horizontal="center"/>
    </xf>
    <xf numFmtId="0" fontId="14" fillId="18" borderId="25" xfId="0" applyFont="1" applyFill="1" applyBorder="1"/>
    <xf numFmtId="1" fontId="14" fillId="0" borderId="19" xfId="0" applyNumberFormat="1" applyFont="1" applyFill="1" applyBorder="1" applyAlignment="1">
      <alignment horizontal="right" vertical="center" wrapText="1"/>
    </xf>
    <xf numFmtId="0" fontId="13" fillId="18" borderId="22" xfId="0" applyFont="1" applyFill="1" applyBorder="1"/>
    <xf numFmtId="4" fontId="13" fillId="0" borderId="20" xfId="0" applyNumberFormat="1" applyFont="1" applyFill="1" applyBorder="1" applyAlignment="1">
      <alignment horizontal="right" vertical="center" wrapText="1"/>
    </xf>
    <xf numFmtId="3" fontId="14" fillId="0" borderId="19" xfId="0" applyNumberFormat="1" applyFont="1" applyFill="1" applyBorder="1" applyAlignment="1">
      <alignment horizontal="right" vertical="center" wrapText="1"/>
    </xf>
    <xf numFmtId="0" fontId="14" fillId="18" borderId="35" xfId="0" applyFont="1" applyFill="1" applyBorder="1" applyAlignment="1">
      <alignment horizontal="center"/>
    </xf>
    <xf numFmtId="0" fontId="14" fillId="18" borderId="37" xfId="0" applyFont="1" applyFill="1" applyBorder="1"/>
    <xf numFmtId="1" fontId="13" fillId="0" borderId="20" xfId="0" applyNumberFormat="1" applyFont="1" applyFill="1" applyBorder="1" applyAlignment="1">
      <alignment horizontal="right" vertical="center" wrapText="1"/>
    </xf>
    <xf numFmtId="1" fontId="13" fillId="0" borderId="21" xfId="0" applyNumberFormat="1" applyFont="1" applyFill="1" applyBorder="1" applyAlignment="1">
      <alignment horizontal="right" vertical="center" wrapText="1"/>
    </xf>
    <xf numFmtId="172" fontId="53" fillId="15" borderId="0" xfId="0" applyNumberFormat="1" applyFont="1" applyFill="1" applyBorder="1" applyAlignment="1">
      <alignment horizontal="center"/>
    </xf>
    <xf numFmtId="0" fontId="33" fillId="21" borderId="0" xfId="0" applyFont="1" applyFill="1" applyBorder="1" applyAlignment="1">
      <alignment horizontal="center"/>
    </xf>
    <xf numFmtId="3" fontId="14" fillId="0" borderId="11" xfId="0" applyNumberFormat="1" applyFont="1" applyFill="1" applyBorder="1"/>
    <xf numFmtId="172" fontId="53" fillId="0" borderId="0" xfId="0" applyNumberFormat="1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4" fontId="14" fillId="0" borderId="0" xfId="0" applyNumberFormat="1" applyFont="1"/>
    <xf numFmtId="169" fontId="14" fillId="0" borderId="13" xfId="0" applyNumberFormat="1" applyFont="1" applyBorder="1" applyAlignment="1">
      <alignment horizontal="right" vertical="center" wrapText="1"/>
    </xf>
    <xf numFmtId="3" fontId="6" fillId="0" borderId="27" xfId="0" applyNumberFormat="1" applyFont="1" applyFill="1" applyBorder="1"/>
    <xf numFmtId="3" fontId="0" fillId="0" borderId="39" xfId="0" applyNumberFormat="1" applyFill="1" applyBorder="1"/>
    <xf numFmtId="3" fontId="0" fillId="0" borderId="30" xfId="0" applyNumberFormat="1" applyFill="1" applyBorder="1"/>
    <xf numFmtId="3" fontId="6" fillId="0" borderId="18" xfId="0" applyNumberFormat="1" applyFont="1" applyFill="1" applyBorder="1"/>
    <xf numFmtId="4" fontId="0" fillId="0" borderId="40" xfId="0" applyNumberFormat="1" applyFill="1" applyBorder="1"/>
    <xf numFmtId="4" fontId="0" fillId="0" borderId="17" xfId="0" applyNumberFormat="1" applyFill="1" applyBorder="1"/>
    <xf numFmtId="3" fontId="7" fillId="18" borderId="21" xfId="0" applyNumberFormat="1" applyFont="1" applyFill="1" applyBorder="1" applyAlignment="1">
      <alignment horizontal="right"/>
    </xf>
    <xf numFmtId="3" fontId="7" fillId="18" borderId="28" xfId="0" applyNumberFormat="1" applyFont="1" applyFill="1" applyBorder="1" applyAlignment="1">
      <alignment horizontal="right"/>
    </xf>
    <xf numFmtId="0" fontId="7" fillId="18" borderId="22" xfId="0" applyFont="1" applyFill="1" applyBorder="1" applyAlignment="1">
      <alignment horizontal="center"/>
    </xf>
    <xf numFmtId="0" fontId="7" fillId="18" borderId="23" xfId="0" applyFont="1" applyFill="1" applyBorder="1" applyAlignment="1">
      <alignment horizontal="center"/>
    </xf>
    <xf numFmtId="169" fontId="7" fillId="18" borderId="21" xfId="0" applyNumberFormat="1" applyFont="1" applyFill="1" applyBorder="1" applyAlignment="1">
      <alignment horizontal="right"/>
    </xf>
    <xf numFmtId="169" fontId="7" fillId="18" borderId="28" xfId="0" applyNumberFormat="1" applyFont="1" applyFill="1" applyBorder="1" applyAlignment="1">
      <alignment horizontal="right"/>
    </xf>
    <xf numFmtId="3" fontId="14" fillId="0" borderId="13" xfId="0" applyNumberFormat="1" applyFont="1" applyBorder="1" applyAlignment="1">
      <alignment horizontal="right" vertical="center" wrapText="1"/>
    </xf>
    <xf numFmtId="0" fontId="14" fillId="0" borderId="35" xfId="0" applyFont="1" applyBorder="1" applyAlignment="1">
      <alignment horizontal="left" vertical="center"/>
    </xf>
    <xf numFmtId="0" fontId="13" fillId="0" borderId="22" xfId="0" applyFont="1" applyFill="1" applyBorder="1"/>
    <xf numFmtId="0" fontId="13" fillId="0" borderId="25" xfId="0" applyFont="1" applyFill="1" applyBorder="1"/>
    <xf numFmtId="0" fontId="13" fillId="0" borderId="23" xfId="0" applyFont="1" applyFill="1" applyBorder="1"/>
    <xf numFmtId="0" fontId="59" fillId="26" borderId="10" xfId="0" applyFont="1" applyFill="1" applyBorder="1"/>
    <xf numFmtId="0" fontId="12" fillId="26" borderId="32" xfId="0" applyFont="1" applyFill="1" applyBorder="1"/>
    <xf numFmtId="1" fontId="50" fillId="19" borderId="41" xfId="0" applyNumberFormat="1" applyFont="1" applyFill="1" applyBorder="1" applyAlignment="1">
      <alignment horizontal="center" vertical="center"/>
    </xf>
    <xf numFmtId="1" fontId="61" fillId="0" borderId="0" xfId="0" applyNumberFormat="1" applyFont="1" applyBorder="1" applyAlignment="1">
      <alignment horizontal="right" vertical="center" wrapText="1"/>
    </xf>
    <xf numFmtId="1" fontId="13" fillId="0" borderId="0" xfId="0" applyNumberFormat="1" applyFont="1" applyFill="1" applyBorder="1" applyAlignment="1">
      <alignment horizontal="right" vertical="center" wrapText="1"/>
    </xf>
    <xf numFmtId="1" fontId="14" fillId="0" borderId="0" xfId="0" applyNumberFormat="1" applyFont="1" applyFill="1" applyBorder="1" applyAlignment="1">
      <alignment horizontal="right" vertical="center" wrapText="1"/>
    </xf>
    <xf numFmtId="49" fontId="50" fillId="19" borderId="35" xfId="0" applyNumberFormat="1" applyFont="1" applyFill="1" applyBorder="1" applyAlignment="1">
      <alignment horizontal="center" vertical="center"/>
    </xf>
    <xf numFmtId="1" fontId="50" fillId="19" borderId="35" xfId="0" applyNumberFormat="1" applyFont="1" applyFill="1" applyBorder="1" applyAlignment="1">
      <alignment horizontal="center" vertical="center"/>
    </xf>
    <xf numFmtId="4" fontId="13" fillId="0" borderId="21" xfId="0" applyNumberFormat="1" applyFont="1" applyFill="1" applyBorder="1" applyAlignment="1">
      <alignment horizontal="right" vertical="center" wrapText="1"/>
    </xf>
    <xf numFmtId="0" fontId="13" fillId="23" borderId="50" xfId="0" applyFont="1" applyFill="1" applyBorder="1"/>
    <xf numFmtId="0" fontId="14" fillId="24" borderId="11" xfId="0" applyFont="1" applyFill="1" applyBorder="1" applyAlignment="1">
      <alignment horizontal="center" vertical="center"/>
    </xf>
    <xf numFmtId="0" fontId="14" fillId="24" borderId="11" xfId="0" applyFont="1" applyFill="1" applyBorder="1" applyAlignment="1">
      <alignment horizontal="left" vertical="center"/>
    </xf>
    <xf numFmtId="0" fontId="14" fillId="24" borderId="12" xfId="0" applyFont="1" applyFill="1" applyBorder="1" applyAlignment="1">
      <alignment horizontal="center" vertical="center"/>
    </xf>
    <xf numFmtId="0" fontId="14" fillId="24" borderId="11" xfId="0" applyFont="1" applyFill="1" applyBorder="1" applyAlignment="1">
      <alignment vertical="center"/>
    </xf>
    <xf numFmtId="0" fontId="51" fillId="14" borderId="0" xfId="0" applyFont="1" applyFill="1"/>
    <xf numFmtId="0" fontId="51" fillId="16" borderId="0" xfId="0" applyFont="1" applyFill="1" applyAlignment="1">
      <alignment horizontal="center"/>
    </xf>
    <xf numFmtId="0" fontId="51" fillId="0" borderId="0" xfId="0" applyFont="1" applyFill="1"/>
    <xf numFmtId="0" fontId="51" fillId="0" borderId="0" xfId="0" applyFont="1" applyFill="1" applyAlignment="1">
      <alignment horizontal="center"/>
    </xf>
    <xf numFmtId="0" fontId="14" fillId="24" borderId="11" xfId="0" applyFont="1" applyFill="1" applyBorder="1" applyAlignment="1">
      <alignment horizontal="left"/>
    </xf>
    <xf numFmtId="0" fontId="16" fillId="18" borderId="32" xfId="0" applyFont="1" applyFill="1" applyBorder="1" applyAlignment="1">
      <alignment vertical="top" wrapText="1"/>
    </xf>
    <xf numFmtId="0" fontId="16" fillId="18" borderId="16" xfId="0" applyFont="1" applyFill="1" applyBorder="1" applyAlignment="1">
      <alignment vertical="top" wrapText="1"/>
    </xf>
    <xf numFmtId="0" fontId="14" fillId="24" borderId="13" xfId="0" applyFont="1" applyFill="1" applyBorder="1" applyAlignment="1">
      <alignment horizontal="center"/>
    </xf>
    <xf numFmtId="0" fontId="16" fillId="18" borderId="13" xfId="0" applyFont="1" applyFill="1" applyBorder="1" applyAlignment="1">
      <alignment vertical="top" wrapText="1"/>
    </xf>
    <xf numFmtId="0" fontId="16" fillId="18" borderId="0" xfId="0" applyFont="1" applyFill="1" applyBorder="1" applyAlignment="1">
      <alignment horizontal="left" vertical="top" wrapText="1"/>
    </xf>
    <xf numFmtId="0" fontId="16" fillId="18" borderId="12" xfId="0" applyFont="1" applyFill="1" applyBorder="1" applyAlignment="1">
      <alignment horizontal="left"/>
    </xf>
    <xf numFmtId="10" fontId="14" fillId="0" borderId="12" xfId="25" applyNumberFormat="1" applyFont="1" applyFill="1" applyBorder="1" applyAlignment="1">
      <alignment horizontal="right"/>
    </xf>
    <xf numFmtId="0" fontId="65" fillId="0" borderId="0" xfId="0" applyFont="1"/>
    <xf numFmtId="0" fontId="65" fillId="0" borderId="0" xfId="0" applyFont="1" applyFill="1"/>
    <xf numFmtId="0" fontId="16" fillId="18" borderId="12" xfId="0" applyFont="1" applyFill="1" applyBorder="1" applyAlignment="1">
      <alignment horizontal="left" wrapText="1"/>
    </xf>
    <xf numFmtId="0" fontId="14" fillId="0" borderId="11" xfId="0" applyFont="1" applyFill="1" applyBorder="1"/>
    <xf numFmtId="2" fontId="14" fillId="0" borderId="11" xfId="0" applyNumberFormat="1" applyFont="1" applyFill="1" applyBorder="1"/>
    <xf numFmtId="3" fontId="14" fillId="0" borderId="0" xfId="0" applyNumberFormat="1" applyFont="1" applyFill="1" applyBorder="1" applyAlignment="1">
      <alignment horizontal="right" wrapText="1"/>
    </xf>
    <xf numFmtId="0" fontId="16" fillId="0" borderId="0" xfId="0" applyFont="1" applyFill="1" applyBorder="1" applyAlignment="1">
      <alignment horizontal="left" wrapText="1"/>
    </xf>
    <xf numFmtId="0" fontId="16" fillId="0" borderId="0" xfId="0" applyFont="1" applyFill="1" applyBorder="1" applyAlignment="1">
      <alignment horizontal="left"/>
    </xf>
    <xf numFmtId="4" fontId="16" fillId="0" borderId="0" xfId="0" applyNumberFormat="1" applyFont="1" applyFill="1" applyBorder="1" applyAlignment="1">
      <alignment horizontal="left"/>
    </xf>
    <xf numFmtId="10" fontId="16" fillId="0" borderId="0" xfId="25" applyNumberFormat="1" applyFont="1" applyFill="1" applyBorder="1" applyAlignment="1">
      <alignment horizontal="left"/>
    </xf>
    <xf numFmtId="0" fontId="16" fillId="18" borderId="14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 wrapText="1"/>
    </xf>
    <xf numFmtId="0" fontId="50" fillId="14" borderId="0" xfId="0" applyFont="1" applyFill="1" applyAlignment="1"/>
    <xf numFmtId="0" fontId="50" fillId="14" borderId="0" xfId="0" applyFont="1" applyFill="1" applyAlignment="1">
      <alignment horizontal="left"/>
    </xf>
    <xf numFmtId="0" fontId="66" fillId="21" borderId="0" xfId="0" applyFont="1" applyFill="1" applyAlignment="1">
      <alignment horizontal="center" wrapText="1"/>
    </xf>
    <xf numFmtId="0" fontId="66" fillId="14" borderId="0" xfId="0" applyFont="1" applyFill="1" applyAlignment="1">
      <alignment horizontal="center"/>
    </xf>
    <xf numFmtId="0" fontId="66" fillId="20" borderId="0" xfId="0" applyFont="1" applyFill="1" applyAlignment="1">
      <alignment horizontal="center"/>
    </xf>
    <xf numFmtId="0" fontId="66" fillId="21" borderId="0" xfId="0" applyFont="1" applyFill="1" applyAlignment="1">
      <alignment horizontal="center"/>
    </xf>
    <xf numFmtId="0" fontId="13" fillId="20" borderId="11" xfId="0" applyFont="1" applyFill="1" applyBorder="1" applyAlignment="1">
      <alignment wrapText="1"/>
    </xf>
    <xf numFmtId="3" fontId="14" fillId="18" borderId="11" xfId="0" applyNumberFormat="1" applyFont="1" applyFill="1" applyBorder="1" applyAlignment="1">
      <alignment horizontal="right"/>
    </xf>
    <xf numFmtId="0" fontId="13" fillId="18" borderId="11" xfId="0" applyFont="1" applyFill="1" applyBorder="1" applyAlignment="1">
      <alignment horizontal="center"/>
    </xf>
    <xf numFmtId="3" fontId="13" fillId="18" borderId="11" xfId="0" applyNumberFormat="1" applyFont="1" applyFill="1" applyBorder="1" applyAlignment="1">
      <alignment horizontal="right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/>
    </xf>
    <xf numFmtId="3" fontId="67" fillId="0" borderId="0" xfId="0" applyNumberFormat="1" applyFont="1"/>
    <xf numFmtId="166" fontId="14" fillId="0" borderId="0" xfId="0" applyNumberFormat="1" applyFont="1" applyFill="1" applyBorder="1"/>
    <xf numFmtId="2" fontId="14" fillId="0" borderId="0" xfId="0" applyNumberFormat="1" applyFont="1" applyFill="1" applyBorder="1"/>
    <xf numFmtId="169" fontId="14" fillId="0" borderId="0" xfId="0" applyNumberFormat="1" applyFont="1" applyFill="1" applyBorder="1"/>
    <xf numFmtId="0" fontId="12" fillId="0" borderId="0" xfId="0" applyFont="1" applyFill="1" applyBorder="1" applyAlignment="1">
      <alignment vertical="center" wrapText="1"/>
    </xf>
    <xf numFmtId="3" fontId="13" fillId="0" borderId="0" xfId="0" applyNumberFormat="1" applyFont="1" applyFill="1" applyBorder="1"/>
    <xf numFmtId="3" fontId="14" fillId="0" borderId="27" xfId="0" applyNumberFormat="1" applyFont="1" applyFill="1" applyBorder="1"/>
    <xf numFmtId="169" fontId="14" fillId="18" borderId="21" xfId="0" applyNumberFormat="1" applyFont="1" applyFill="1" applyBorder="1" applyAlignment="1">
      <alignment horizontal="right"/>
    </xf>
    <xf numFmtId="3" fontId="14" fillId="18" borderId="21" xfId="0" applyNumberFormat="1" applyFont="1" applyFill="1" applyBorder="1" applyAlignment="1">
      <alignment horizontal="right"/>
    </xf>
    <xf numFmtId="0" fontId="14" fillId="18" borderId="22" xfId="0" applyFont="1" applyFill="1" applyBorder="1" applyAlignment="1">
      <alignment horizontal="center"/>
    </xf>
    <xf numFmtId="3" fontId="14" fillId="0" borderId="39" xfId="0" applyNumberFormat="1" applyFont="1" applyFill="1" applyBorder="1"/>
    <xf numFmtId="3" fontId="14" fillId="0" borderId="30" xfId="0" applyNumberFormat="1" applyFont="1" applyFill="1" applyBorder="1"/>
    <xf numFmtId="3" fontId="14" fillId="0" borderId="18" xfId="0" applyNumberFormat="1" applyFont="1" applyFill="1" applyBorder="1"/>
    <xf numFmtId="169" fontId="14" fillId="18" borderId="28" xfId="0" applyNumberFormat="1" applyFont="1" applyFill="1" applyBorder="1" applyAlignment="1">
      <alignment horizontal="right"/>
    </xf>
    <xf numFmtId="3" fontId="14" fillId="18" borderId="28" xfId="0" applyNumberFormat="1" applyFont="1" applyFill="1" applyBorder="1" applyAlignment="1">
      <alignment horizontal="right"/>
    </xf>
    <xf numFmtId="0" fontId="14" fillId="18" borderId="23" xfId="0" applyFont="1" applyFill="1" applyBorder="1" applyAlignment="1">
      <alignment horizontal="center"/>
    </xf>
    <xf numFmtId="4" fontId="14" fillId="0" borderId="40" xfId="0" applyNumberFormat="1" applyFont="1" applyFill="1" applyBorder="1"/>
    <xf numFmtId="4" fontId="14" fillId="0" borderId="17" xfId="0" applyNumberFormat="1" applyFont="1" applyFill="1" applyBorder="1"/>
    <xf numFmtId="0" fontId="13" fillId="18" borderId="0" xfId="0" applyFont="1" applyFill="1" applyBorder="1" applyAlignment="1">
      <alignment horizontal="center"/>
    </xf>
    <xf numFmtId="3" fontId="14" fillId="18" borderId="0" xfId="0" applyNumberFormat="1" applyFont="1" applyFill="1" applyBorder="1" applyAlignment="1">
      <alignment horizontal="right"/>
    </xf>
    <xf numFmtId="172" fontId="69" fillId="15" borderId="0" xfId="0" applyNumberFormat="1" applyFont="1" applyFill="1" applyAlignment="1">
      <alignment horizontal="center"/>
    </xf>
    <xf numFmtId="172" fontId="69" fillId="15" borderId="0" xfId="0" applyNumberFormat="1" applyFont="1" applyFill="1" applyBorder="1" applyAlignment="1">
      <alignment horizontal="center"/>
    </xf>
    <xf numFmtId="0" fontId="66" fillId="21" borderId="0" xfId="0" applyFont="1" applyFill="1" applyBorder="1" applyAlignment="1">
      <alignment horizontal="center"/>
    </xf>
    <xf numFmtId="1" fontId="14" fillId="18" borderId="11" xfId="0" applyNumberFormat="1" applyFont="1" applyFill="1" applyBorder="1" applyAlignment="1">
      <alignment horizontal="right"/>
    </xf>
    <xf numFmtId="0" fontId="12" fillId="0" borderId="0" xfId="0" applyFont="1" applyFill="1" applyAlignment="1">
      <alignment wrapText="1"/>
    </xf>
    <xf numFmtId="0" fontId="13" fillId="0" borderId="0" xfId="0" applyFont="1" applyFill="1" applyAlignment="1">
      <alignment horizontal="center"/>
    </xf>
    <xf numFmtId="4" fontId="50" fillId="22" borderId="11" xfId="0" applyNumberFormat="1" applyFont="1" applyFill="1" applyBorder="1" applyAlignment="1">
      <alignment horizontal="right" vertical="center"/>
    </xf>
    <xf numFmtId="10" fontId="50" fillId="22" borderId="14" xfId="25" applyNumberFormat="1" applyFont="1" applyFill="1" applyBorder="1" applyAlignment="1">
      <alignment horizontal="right" vertical="center"/>
    </xf>
    <xf numFmtId="173" fontId="13" fillId="0" borderId="0" xfId="25" applyNumberFormat="1" applyFont="1" applyFill="1" applyBorder="1" applyAlignment="1">
      <alignment horizontal="right" vertical="center"/>
    </xf>
    <xf numFmtId="10" fontId="50" fillId="0" borderId="0" xfId="25" applyNumberFormat="1" applyFont="1" applyFill="1" applyBorder="1" applyAlignment="1">
      <alignment horizontal="right" vertical="center"/>
    </xf>
    <xf numFmtId="0" fontId="13" fillId="18" borderId="35" xfId="0" applyFont="1" applyFill="1" applyBorder="1" applyAlignment="1">
      <alignment horizontal="center"/>
    </xf>
    <xf numFmtId="3" fontId="13" fillId="18" borderId="35" xfId="0" applyNumberFormat="1" applyFont="1" applyFill="1" applyBorder="1" applyAlignment="1">
      <alignment horizontal="right"/>
    </xf>
    <xf numFmtId="0" fontId="14" fillId="0" borderId="14" xfId="0" applyFont="1" applyFill="1" applyBorder="1" applyAlignment="1">
      <alignment horizontal="center"/>
    </xf>
    <xf numFmtId="0" fontId="70" fillId="0" borderId="36" xfId="0" applyFont="1" applyFill="1" applyBorder="1" applyAlignment="1">
      <alignment horizontal="right"/>
    </xf>
    <xf numFmtId="3" fontId="70" fillId="0" borderId="36" xfId="25" applyNumberFormat="1" applyFont="1" applyFill="1" applyBorder="1" applyAlignment="1">
      <alignment horizontal="right" vertical="center"/>
    </xf>
    <xf numFmtId="0" fontId="14" fillId="0" borderId="11" xfId="0" applyFont="1" applyBorder="1" applyAlignment="1">
      <alignment horizontal="center" vertical="center" wrapText="1"/>
    </xf>
    <xf numFmtId="10" fontId="14" fillId="0" borderId="0" xfId="25" applyNumberFormat="1" applyFont="1" applyFill="1" applyBorder="1" applyAlignment="1">
      <alignment horizontal="right"/>
    </xf>
    <xf numFmtId="4" fontId="14" fillId="0" borderId="0" xfId="25" applyNumberFormat="1" applyFont="1" applyFill="1" applyBorder="1" applyAlignment="1"/>
    <xf numFmtId="10" fontId="14" fillId="0" borderId="0" xfId="25" applyNumberFormat="1" applyFont="1" applyFill="1" applyBorder="1" applyAlignment="1">
      <alignment horizontal="left"/>
    </xf>
    <xf numFmtId="0" fontId="71" fillId="0" borderId="0" xfId="48"/>
    <xf numFmtId="0" fontId="71" fillId="0" borderId="0" xfId="48" applyFill="1"/>
    <xf numFmtId="0" fontId="31" fillId="15" borderId="11" xfId="0" applyFont="1" applyFill="1" applyBorder="1" applyAlignment="1">
      <alignment horizontal="center" vertical="center" wrapText="1"/>
    </xf>
    <xf numFmtId="0" fontId="13" fillId="15" borderId="11" xfId="0" applyFont="1" applyFill="1" applyBorder="1" applyAlignment="1">
      <alignment horizontal="center" vertical="center" wrapText="1"/>
    </xf>
    <xf numFmtId="0" fontId="0" fillId="15" borderId="11" xfId="0" applyFill="1" applyBorder="1" applyAlignment="1">
      <alignment vertical="center" wrapText="1"/>
    </xf>
    <xf numFmtId="0" fontId="31" fillId="0" borderId="11" xfId="0" applyFont="1" applyBorder="1" applyAlignment="1">
      <alignment horizontal="center" vertical="center" wrapText="1"/>
    </xf>
    <xf numFmtId="3" fontId="31" fillId="0" borderId="11" xfId="0" applyNumberFormat="1" applyFont="1" applyBorder="1" applyAlignment="1">
      <alignment horizontal="right" vertical="center" wrapText="1"/>
    </xf>
    <xf numFmtId="4" fontId="31" fillId="0" borderId="11" xfId="0" applyNumberFormat="1" applyFont="1" applyBorder="1" applyAlignment="1">
      <alignment horizontal="right" vertical="center" wrapText="1"/>
    </xf>
    <xf numFmtId="0" fontId="31" fillId="0" borderId="0" xfId="0" applyFont="1" applyBorder="1" applyAlignment="1">
      <alignment horizontal="center" vertical="center" wrapText="1"/>
    </xf>
    <xf numFmtId="3" fontId="31" fillId="0" borderId="0" xfId="0" applyNumberFormat="1" applyFont="1" applyBorder="1" applyAlignment="1">
      <alignment horizontal="right" vertical="center" wrapText="1"/>
    </xf>
    <xf numFmtId="4" fontId="31" fillId="0" borderId="0" xfId="0" applyNumberFormat="1" applyFont="1" applyBorder="1" applyAlignment="1">
      <alignment horizontal="right" vertical="center" wrapText="1"/>
    </xf>
    <xf numFmtId="0" fontId="31" fillId="0" borderId="0" xfId="0" applyFont="1" applyBorder="1" applyAlignment="1">
      <alignment horizontal="right" vertical="center" wrapText="1"/>
    </xf>
    <xf numFmtId="10" fontId="13" fillId="0" borderId="11" xfId="25" applyNumberFormat="1" applyFont="1" applyBorder="1" applyAlignment="1">
      <alignment horizontal="right" vertical="center" wrapText="1"/>
    </xf>
    <xf numFmtId="10" fontId="14" fillId="0" borderId="11" xfId="25" applyNumberFormat="1" applyFont="1" applyBorder="1" applyAlignment="1">
      <alignment horizontal="right" vertical="center" wrapText="1"/>
    </xf>
    <xf numFmtId="0" fontId="48" fillId="14" borderId="0" xfId="0" applyFont="1" applyFill="1"/>
    <xf numFmtId="172" fontId="53" fillId="15" borderId="0" xfId="0" applyNumberFormat="1" applyFont="1" applyFill="1" applyAlignment="1">
      <alignment horizontal="center"/>
    </xf>
    <xf numFmtId="0" fontId="7" fillId="18" borderId="11" xfId="0" applyFont="1" applyFill="1" applyBorder="1" applyAlignment="1">
      <alignment horizontal="right"/>
    </xf>
    <xf numFmtId="3" fontId="32" fillId="0" borderId="11" xfId="0" applyNumberFormat="1" applyFont="1" applyFill="1" applyBorder="1" applyAlignment="1">
      <alignment horizontal="right" vertical="center"/>
    </xf>
    <xf numFmtId="4" fontId="32" fillId="0" borderId="11" xfId="0" applyNumberFormat="1" applyFont="1" applyFill="1" applyBorder="1" applyAlignment="1">
      <alignment horizontal="right" vertical="center"/>
    </xf>
    <xf numFmtId="3" fontId="7" fillId="18" borderId="11" xfId="0" applyNumberFormat="1" applyFont="1" applyFill="1" applyBorder="1" applyAlignment="1">
      <alignment horizontal="right"/>
    </xf>
    <xf numFmtId="3" fontId="31" fillId="0" borderId="11" xfId="0" applyNumberFormat="1" applyFont="1" applyFill="1" applyBorder="1" applyAlignment="1">
      <alignment horizontal="right" vertical="center"/>
    </xf>
    <xf numFmtId="3" fontId="34" fillId="0" borderId="11" xfId="0" applyNumberFormat="1" applyFont="1" applyFill="1" applyBorder="1" applyAlignment="1">
      <alignment horizontal="right" vertical="center"/>
    </xf>
    <xf numFmtId="10" fontId="14" fillId="0" borderId="0" xfId="25" applyNumberFormat="1" applyFont="1" applyAlignment="1">
      <alignment horizontal="right"/>
    </xf>
    <xf numFmtId="10" fontId="7" fillId="18" borderId="11" xfId="0" applyNumberFormat="1" applyFont="1" applyFill="1" applyBorder="1" applyAlignment="1">
      <alignment horizontal="right"/>
    </xf>
    <xf numFmtId="4" fontId="13" fillId="0" borderId="11" xfId="0" applyNumberFormat="1" applyFont="1" applyFill="1" applyBorder="1" applyAlignment="1">
      <alignment horizontal="right" vertical="center"/>
    </xf>
    <xf numFmtId="3" fontId="31" fillId="0" borderId="0" xfId="0" applyNumberFormat="1" applyFont="1" applyFill="1" applyBorder="1" applyAlignment="1">
      <alignment horizontal="right" vertical="center"/>
    </xf>
    <xf numFmtId="3" fontId="34" fillId="0" borderId="0" xfId="0" applyNumberFormat="1" applyFont="1" applyFill="1" applyBorder="1" applyAlignment="1">
      <alignment horizontal="right" vertical="center"/>
    </xf>
    <xf numFmtId="0" fontId="66" fillId="0" borderId="0" xfId="0" applyFont="1" applyFill="1" applyAlignment="1">
      <alignment horizontal="center" wrapText="1"/>
    </xf>
    <xf numFmtId="0" fontId="66" fillId="0" borderId="0" xfId="0" applyFont="1" applyFill="1" applyAlignment="1">
      <alignment horizontal="center"/>
    </xf>
    <xf numFmtId="4" fontId="14" fillId="0" borderId="41" xfId="0" applyNumberFormat="1" applyFont="1" applyFill="1" applyBorder="1" applyAlignment="1">
      <alignment vertical="center" wrapText="1"/>
    </xf>
    <xf numFmtId="4" fontId="14" fillId="0" borderId="52" xfId="0" applyNumberFormat="1" applyFont="1" applyFill="1" applyBorder="1" applyAlignment="1">
      <alignment vertical="center" wrapText="1"/>
    </xf>
    <xf numFmtId="0" fontId="16" fillId="0" borderId="19" xfId="0" applyFont="1" applyFill="1" applyBorder="1" applyAlignment="1">
      <alignment horizontal="center" vertical="center" wrapText="1"/>
    </xf>
    <xf numFmtId="4" fontId="14" fillId="0" borderId="19" xfId="0" applyNumberFormat="1" applyFont="1" applyFill="1" applyBorder="1" applyAlignment="1">
      <alignment vertical="center" wrapText="1"/>
    </xf>
    <xf numFmtId="4" fontId="14" fillId="0" borderId="24" xfId="0" applyNumberFormat="1" applyFont="1" applyFill="1" applyBorder="1" applyAlignment="1">
      <alignment vertical="center" wrapText="1"/>
    </xf>
    <xf numFmtId="4" fontId="14" fillId="0" borderId="28" xfId="0" applyNumberFormat="1" applyFont="1" applyFill="1" applyBorder="1" applyAlignment="1">
      <alignment vertical="center" wrapText="1"/>
    </xf>
    <xf numFmtId="169" fontId="14" fillId="0" borderId="11" xfId="0" applyNumberFormat="1" applyFont="1" applyFill="1" applyBorder="1" applyAlignment="1">
      <alignment horizontal="right"/>
    </xf>
    <xf numFmtId="0" fontId="42" fillId="0" borderId="0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left" wrapText="1"/>
    </xf>
    <xf numFmtId="0" fontId="50" fillId="14" borderId="0" xfId="0" applyFont="1" applyFill="1" applyAlignment="1">
      <alignment horizontal="left"/>
    </xf>
    <xf numFmtId="0" fontId="14" fillId="0" borderId="0" xfId="48" applyFont="1"/>
    <xf numFmtId="0" fontId="14" fillId="0" borderId="1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3" fontId="14" fillId="0" borderId="11" xfId="35" applyNumberFormat="1" applyFont="1" applyBorder="1" applyAlignment="1"/>
    <xf numFmtId="0" fontId="13" fillId="0" borderId="0" xfId="35" applyFont="1"/>
    <xf numFmtId="0" fontId="13" fillId="0" borderId="0" xfId="35" applyFont="1" applyAlignment="1">
      <alignment horizontal="center"/>
    </xf>
    <xf numFmtId="0" fontId="50" fillId="16" borderId="0" xfId="0" applyFont="1" applyFill="1"/>
    <xf numFmtId="3" fontId="14" fillId="13" borderId="11" xfId="35" applyNumberFormat="1" applyFont="1" applyFill="1" applyBorder="1"/>
    <xf numFmtId="0" fontId="13" fillId="0" borderId="11" xfId="0" applyFont="1" applyBorder="1"/>
    <xf numFmtId="3" fontId="14" fillId="0" borderId="0" xfId="35" applyNumberFormat="1" applyFont="1" applyBorder="1" applyAlignment="1"/>
    <xf numFmtId="3" fontId="13" fillId="0" borderId="0" xfId="0" applyNumberFormat="1" applyFont="1" applyBorder="1"/>
    <xf numFmtId="0" fontId="51" fillId="0" borderId="0" xfId="0" applyFont="1" applyFill="1" applyBorder="1"/>
    <xf numFmtId="171" fontId="13" fillId="0" borderId="11" xfId="0" applyNumberFormat="1" applyFont="1" applyBorder="1" applyAlignment="1">
      <alignment horizontal="center"/>
    </xf>
    <xf numFmtId="0" fontId="14" fillId="0" borderId="22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/>
    </xf>
    <xf numFmtId="3" fontId="14" fillId="0" borderId="29" xfId="0" applyNumberFormat="1" applyFont="1" applyBorder="1" applyAlignment="1">
      <alignment horizontal="right" vertical="center" wrapText="1"/>
    </xf>
    <xf numFmtId="0" fontId="14" fillId="0" borderId="25" xfId="0" applyFont="1" applyBorder="1" applyAlignment="1">
      <alignment horizontal="right"/>
    </xf>
    <xf numFmtId="0" fontId="13" fillId="0" borderId="55" xfId="0" applyFont="1" applyBorder="1" applyAlignment="1">
      <alignment horizontal="right"/>
    </xf>
    <xf numFmtId="0" fontId="13" fillId="0" borderId="56" xfId="0" applyFont="1" applyBorder="1" applyAlignment="1">
      <alignment horizontal="right"/>
    </xf>
    <xf numFmtId="3" fontId="75" fillId="13" borderId="11" xfId="35" applyNumberFormat="1" applyFont="1" applyFill="1" applyBorder="1"/>
    <xf numFmtId="0" fontId="14" fillId="20" borderId="11" xfId="0" applyFont="1" applyFill="1" applyBorder="1"/>
    <xf numFmtId="0" fontId="14" fillId="0" borderId="11" xfId="0" applyFont="1" applyFill="1" applyBorder="1" applyAlignment="1"/>
    <xf numFmtId="0" fontId="14" fillId="0" borderId="11" xfId="0" applyFont="1" applyBorder="1" applyAlignment="1">
      <alignment horizontal="center"/>
    </xf>
    <xf numFmtId="0" fontId="14" fillId="0" borderId="13" xfId="0" applyFont="1" applyBorder="1"/>
    <xf numFmtId="0" fontId="14" fillId="0" borderId="11" xfId="0" applyFont="1" applyBorder="1" applyAlignment="1">
      <alignment horizontal="right"/>
    </xf>
    <xf numFmtId="3" fontId="14" fillId="0" borderId="13" xfId="0" applyNumberFormat="1" applyFont="1" applyBorder="1" applyAlignment="1">
      <alignment horizontal="right"/>
    </xf>
    <xf numFmtId="0" fontId="14" fillId="0" borderId="11" xfId="0" applyFont="1" applyBorder="1" applyAlignment="1"/>
    <xf numFmtId="3" fontId="14" fillId="0" borderId="11" xfId="0" applyNumberFormat="1" applyFont="1" applyBorder="1" applyAlignment="1">
      <alignment horizontal="right"/>
    </xf>
    <xf numFmtId="2" fontId="14" fillId="0" borderId="11" xfId="0" applyNumberFormat="1" applyFont="1" applyBorder="1" applyAlignment="1">
      <alignment vertical="center" wrapText="1"/>
    </xf>
    <xf numFmtId="0" fontId="16" fillId="0" borderId="0" xfId="0" applyFont="1" applyFill="1" applyBorder="1" applyAlignment="1">
      <alignment horizontal="right"/>
    </xf>
    <xf numFmtId="1" fontId="13" fillId="0" borderId="11" xfId="0" applyNumberFormat="1" applyFont="1" applyFill="1" applyBorder="1" applyAlignment="1">
      <alignment horizontal="right" vertical="center" wrapText="1"/>
    </xf>
    <xf numFmtId="0" fontId="14" fillId="24" borderId="42" xfId="0" applyFont="1" applyFill="1" applyBorder="1" applyAlignment="1">
      <alignment horizontal="center" vertical="center"/>
    </xf>
    <xf numFmtId="0" fontId="16" fillId="18" borderId="42" xfId="0" applyFont="1" applyFill="1" applyBorder="1" applyAlignment="1">
      <alignment horizontal="left" wrapText="1"/>
    </xf>
    <xf numFmtId="0" fontId="14" fillId="24" borderId="13" xfId="0" applyFont="1" applyFill="1" applyBorder="1"/>
    <xf numFmtId="0" fontId="14" fillId="24" borderId="26" xfId="0" applyFont="1" applyFill="1" applyBorder="1" applyAlignment="1">
      <alignment horizontal="center"/>
    </xf>
    <xf numFmtId="0" fontId="16" fillId="18" borderId="26" xfId="0" applyFont="1" applyFill="1" applyBorder="1" applyAlignment="1">
      <alignment horizontal="left" wrapText="1"/>
    </xf>
    <xf numFmtId="0" fontId="16" fillId="18" borderId="11" xfId="0" applyFont="1" applyFill="1" applyBorder="1" applyAlignment="1">
      <alignment horizontal="left" wrapText="1"/>
    </xf>
    <xf numFmtId="4" fontId="14" fillId="0" borderId="11" xfId="0" applyNumberFormat="1" applyFont="1" applyFill="1" applyBorder="1" applyAlignment="1">
      <alignment horizontal="center" vertical="center" wrapText="1"/>
    </xf>
    <xf numFmtId="0" fontId="14" fillId="24" borderId="20" xfId="0" applyFont="1" applyFill="1" applyBorder="1" applyAlignment="1">
      <alignment horizontal="center"/>
    </xf>
    <xf numFmtId="0" fontId="16" fillId="18" borderId="20" xfId="0" applyFont="1" applyFill="1" applyBorder="1" applyAlignment="1">
      <alignment horizontal="left" wrapText="1"/>
    </xf>
    <xf numFmtId="4" fontId="14" fillId="0" borderId="19" xfId="0" applyNumberFormat="1" applyFont="1" applyFill="1" applyBorder="1" applyAlignment="1">
      <alignment horizontal="center" vertical="center" wrapText="1"/>
    </xf>
    <xf numFmtId="0" fontId="14" fillId="24" borderId="25" xfId="0" applyFont="1" applyFill="1" applyBorder="1"/>
    <xf numFmtId="0" fontId="14" fillId="24" borderId="24" xfId="0" applyFont="1" applyFill="1" applyBorder="1" applyAlignment="1">
      <alignment horizontal="center" vertical="center"/>
    </xf>
    <xf numFmtId="0" fontId="16" fillId="18" borderId="24" xfId="0" applyFont="1" applyFill="1" applyBorder="1" applyAlignment="1">
      <alignment horizontal="left" wrapText="1"/>
    </xf>
    <xf numFmtId="1" fontId="13" fillId="0" borderId="19" xfId="0" applyNumberFormat="1" applyFont="1" applyFill="1" applyBorder="1" applyAlignment="1">
      <alignment horizontal="right" vertical="center" wrapText="1"/>
    </xf>
    <xf numFmtId="0" fontId="13" fillId="0" borderId="11" xfId="0" applyFont="1" applyFill="1" applyBorder="1" applyAlignment="1">
      <alignment horizontal="center"/>
    </xf>
    <xf numFmtId="0" fontId="76" fillId="17" borderId="0" xfId="0" applyFont="1" applyFill="1" applyAlignment="1">
      <alignment horizontal="right"/>
    </xf>
    <xf numFmtId="4" fontId="13" fillId="0" borderId="14" xfId="0" applyNumberFormat="1" applyFont="1" applyFill="1" applyBorder="1" applyAlignment="1">
      <alignment horizontal="left" vertical="center"/>
    </xf>
    <xf numFmtId="4" fontId="13" fillId="20" borderId="0" xfId="0" applyNumberFormat="1" applyFont="1" applyFill="1"/>
    <xf numFmtId="4" fontId="13" fillId="0" borderId="14" xfId="0" applyNumberFormat="1" applyFont="1" applyFill="1" applyBorder="1"/>
    <xf numFmtId="0" fontId="13" fillId="0" borderId="11" xfId="0" applyFont="1" applyBorder="1" applyAlignment="1">
      <alignment horizontal="center"/>
    </xf>
    <xf numFmtId="0" fontId="13" fillId="24" borderId="25" xfId="0" applyFont="1" applyFill="1" applyBorder="1"/>
    <xf numFmtId="0" fontId="14" fillId="24" borderId="34" xfId="0" applyFont="1" applyFill="1" applyBorder="1"/>
    <xf numFmtId="3" fontId="14" fillId="0" borderId="51" xfId="0" applyNumberFormat="1" applyFont="1" applyFill="1" applyBorder="1" applyAlignment="1">
      <alignment horizontal="right" wrapText="1"/>
    </xf>
    <xf numFmtId="0" fontId="13" fillId="18" borderId="25" xfId="0" applyFont="1" applyFill="1" applyBorder="1"/>
    <xf numFmtId="4" fontId="14" fillId="0" borderId="0" xfId="0" applyNumberFormat="1" applyFont="1" applyFill="1" applyBorder="1" applyAlignment="1">
      <alignment horizontal="right" vertical="center" wrapText="1"/>
    </xf>
    <xf numFmtId="0" fontId="14" fillId="0" borderId="50" xfId="0" applyFont="1" applyFill="1" applyBorder="1"/>
    <xf numFmtId="1" fontId="61" fillId="0" borderId="11" xfId="0" applyNumberFormat="1" applyFont="1" applyBorder="1" applyAlignment="1">
      <alignment horizontal="right" vertical="center" wrapText="1"/>
    </xf>
    <xf numFmtId="3" fontId="13" fillId="0" borderId="11" xfId="0" applyNumberFormat="1" applyFont="1" applyFill="1" applyBorder="1" applyAlignment="1">
      <alignment horizontal="right" vertical="center" wrapText="1"/>
    </xf>
    <xf numFmtId="1" fontId="61" fillId="0" borderId="19" xfId="0" applyNumberFormat="1" applyFont="1" applyBorder="1" applyAlignment="1">
      <alignment horizontal="right" vertical="center" wrapText="1"/>
    </xf>
    <xf numFmtId="3" fontId="13" fillId="0" borderId="19" xfId="0" applyNumberFormat="1" applyFont="1" applyFill="1" applyBorder="1" applyAlignment="1">
      <alignment horizontal="right" vertical="center" wrapText="1"/>
    </xf>
    <xf numFmtId="1" fontId="13" fillId="0" borderId="35" xfId="0" applyNumberFormat="1" applyFont="1" applyFill="1" applyBorder="1" applyAlignment="1">
      <alignment horizontal="right" vertical="center" wrapText="1"/>
    </xf>
    <xf numFmtId="0" fontId="61" fillId="18" borderId="11" xfId="0" applyFont="1" applyFill="1" applyBorder="1" applyAlignment="1">
      <alignment vertical="center" wrapText="1"/>
    </xf>
    <xf numFmtId="172" fontId="14" fillId="18" borderId="11" xfId="0" applyNumberFormat="1" applyFont="1" applyFill="1" applyBorder="1" applyAlignment="1">
      <alignment horizontal="center"/>
    </xf>
    <xf numFmtId="0" fontId="61" fillId="18" borderId="11" xfId="0" applyFont="1" applyFill="1" applyBorder="1" applyAlignment="1">
      <alignment horizontal="center" vertical="center" wrapText="1"/>
    </xf>
    <xf numFmtId="3" fontId="14" fillId="0" borderId="35" xfId="0" applyNumberFormat="1" applyFont="1" applyFill="1" applyBorder="1" applyAlignment="1">
      <alignment horizontal="right" vertical="center" wrapText="1"/>
    </xf>
    <xf numFmtId="3" fontId="14" fillId="0" borderId="38" xfId="0" applyNumberFormat="1" applyFont="1" applyFill="1" applyBorder="1" applyAlignment="1">
      <alignment horizontal="right" vertical="center" wrapText="1"/>
    </xf>
    <xf numFmtId="2" fontId="0" fillId="0" borderId="0" xfId="0" applyNumberFormat="1"/>
    <xf numFmtId="0" fontId="71" fillId="0" borderId="0" xfId="0" applyFont="1" applyAlignment="1">
      <alignment horizontal="right"/>
    </xf>
    <xf numFmtId="2" fontId="31" fillId="0" borderId="11" xfId="0" applyNumberFormat="1" applyFont="1" applyBorder="1" applyAlignment="1">
      <alignment horizontal="right" vertical="center" wrapText="1"/>
    </xf>
    <xf numFmtId="0" fontId="78" fillId="0" borderId="0" xfId="0" applyFont="1" applyAlignment="1">
      <alignment horizontal="center"/>
    </xf>
    <xf numFmtId="0" fontId="42" fillId="0" borderId="0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left" wrapText="1"/>
    </xf>
    <xf numFmtId="0" fontId="50" fillId="14" borderId="0" xfId="0" applyFont="1" applyFill="1" applyAlignment="1">
      <alignment horizontal="left"/>
    </xf>
    <xf numFmtId="165" fontId="14" fillId="0" borderId="0" xfId="0" applyNumberFormat="1" applyFont="1" applyBorder="1"/>
    <xf numFmtId="1" fontId="14" fillId="0" borderId="35" xfId="0" applyNumberFormat="1" applyFont="1" applyFill="1" applyBorder="1" applyAlignment="1">
      <alignment horizontal="right" vertical="center" wrapText="1"/>
    </xf>
    <xf numFmtId="1" fontId="14" fillId="0" borderId="38" xfId="0" applyNumberFormat="1" applyFont="1" applyFill="1" applyBorder="1" applyAlignment="1">
      <alignment horizontal="right" vertical="center" wrapText="1"/>
    </xf>
    <xf numFmtId="0" fontId="16" fillId="18" borderId="12" xfId="0" applyFont="1" applyFill="1" applyBorder="1" applyAlignment="1">
      <alignment horizontal="left" vertical="center" wrapText="1"/>
    </xf>
    <xf numFmtId="0" fontId="14" fillId="24" borderId="11" xfId="0" applyFont="1" applyFill="1" applyBorder="1" applyAlignment="1">
      <alignment vertical="center" wrapText="1"/>
    </xf>
    <xf numFmtId="0" fontId="16" fillId="18" borderId="14" xfId="35" applyFont="1" applyFill="1" applyBorder="1" applyAlignment="1">
      <alignment horizontal="left" vertical="center" wrapText="1"/>
    </xf>
    <xf numFmtId="0" fontId="16" fillId="18" borderId="14" xfId="0" applyFont="1" applyFill="1" applyBorder="1" applyAlignment="1">
      <alignment horizontal="left" vertical="center" wrapText="1"/>
    </xf>
    <xf numFmtId="0" fontId="14" fillId="0" borderId="11" xfId="0" quotePrefix="1" applyFont="1" applyFill="1" applyBorder="1" applyAlignment="1">
      <alignment horizontal="right"/>
    </xf>
    <xf numFmtId="0" fontId="14" fillId="0" borderId="11" xfId="0" applyFont="1" applyFill="1" applyBorder="1" applyAlignment="1">
      <alignment horizontal="right"/>
    </xf>
    <xf numFmtId="4" fontId="13" fillId="0" borderId="11" xfId="0" applyNumberFormat="1" applyFont="1" applyBorder="1"/>
    <xf numFmtId="0" fontId="14" fillId="18" borderId="58" xfId="0" applyFont="1" applyFill="1" applyBorder="1" applyAlignment="1">
      <alignment horizontal="center"/>
    </xf>
    <xf numFmtId="3" fontId="13" fillId="0" borderId="20" xfId="0" applyNumberFormat="1" applyFont="1" applyFill="1" applyBorder="1" applyAlignment="1">
      <alignment horizontal="right" vertical="center" wrapText="1"/>
    </xf>
    <xf numFmtId="3" fontId="13" fillId="0" borderId="21" xfId="0" applyNumberFormat="1" applyFont="1" applyFill="1" applyBorder="1" applyAlignment="1">
      <alignment horizontal="right" vertical="center" wrapText="1"/>
    </xf>
    <xf numFmtId="0" fontId="14" fillId="18" borderId="59" xfId="0" applyFont="1" applyFill="1" applyBorder="1"/>
    <xf numFmtId="4" fontId="14" fillId="0" borderId="58" xfId="0" applyNumberFormat="1" applyFont="1" applyFill="1" applyBorder="1" applyAlignment="1">
      <alignment horizontal="right" vertical="center" wrapText="1"/>
    </xf>
    <xf numFmtId="4" fontId="14" fillId="0" borderId="60" xfId="0" applyNumberFormat="1" applyFont="1" applyFill="1" applyBorder="1" applyAlignment="1">
      <alignment horizontal="right" vertical="center" wrapText="1"/>
    </xf>
    <xf numFmtId="3" fontId="14" fillId="0" borderId="0" xfId="0" applyNumberFormat="1" applyFont="1" applyAlignment="1">
      <alignment wrapText="1"/>
    </xf>
    <xf numFmtId="0" fontId="13" fillId="0" borderId="11" xfId="0" applyFont="1" applyFill="1" applyBorder="1" applyAlignment="1">
      <alignment horizontal="center"/>
    </xf>
    <xf numFmtId="169" fontId="61" fillId="18" borderId="14" xfId="0" applyNumberFormat="1" applyFont="1" applyFill="1" applyBorder="1" applyAlignment="1">
      <alignment vertical="center" wrapText="1"/>
    </xf>
    <xf numFmtId="0" fontId="13" fillId="0" borderId="11" xfId="0" applyFont="1" applyFill="1" applyBorder="1" applyAlignment="1">
      <alignment horizontal="center"/>
    </xf>
    <xf numFmtId="164" fontId="14" fillId="0" borderId="0" xfId="9" applyFont="1" applyFill="1" applyBorder="1"/>
    <xf numFmtId="0" fontId="16" fillId="18" borderId="14" xfId="0" applyFont="1" applyFill="1" applyBorder="1" applyAlignment="1">
      <alignment horizontal="left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2" fontId="3" fillId="0" borderId="0" xfId="53" applyNumberFormat="1"/>
    <xf numFmtId="167" fontId="6" fillId="0" borderId="11" xfId="25" applyNumberFormat="1" applyFont="1" applyBorder="1" applyAlignment="1">
      <alignment horizontal="right" vertical="center" wrapText="1"/>
    </xf>
    <xf numFmtId="0" fontId="13" fillId="0" borderId="11" xfId="0" applyFont="1" applyFill="1" applyBorder="1" applyAlignment="1">
      <alignment horizontal="center"/>
    </xf>
    <xf numFmtId="0" fontId="38" fillId="18" borderId="11" xfId="0" applyFont="1" applyFill="1" applyBorder="1"/>
    <xf numFmtId="0" fontId="38" fillId="0" borderId="0" xfId="0" applyFont="1"/>
    <xf numFmtId="0" fontId="38" fillId="18" borderId="11" xfId="0" applyFont="1" applyFill="1" applyBorder="1" applyAlignment="1">
      <alignment horizontal="center"/>
    </xf>
    <xf numFmtId="3" fontId="38" fillId="0" borderId="11" xfId="0" applyNumberFormat="1" applyFont="1" applyFill="1" applyBorder="1" applyAlignment="1">
      <alignment horizontal="right" vertical="center" wrapText="1"/>
    </xf>
    <xf numFmtId="0" fontId="39" fillId="0" borderId="0" xfId="0" applyFont="1" applyBorder="1" applyAlignment="1">
      <alignment horizontal="right" vertical="center" wrapText="1"/>
    </xf>
    <xf numFmtId="1" fontId="12" fillId="19" borderId="15" xfId="0" applyNumberFormat="1" applyFont="1" applyFill="1" applyBorder="1" applyAlignment="1">
      <alignment horizontal="center" vertical="center"/>
    </xf>
    <xf numFmtId="166" fontId="13" fillId="0" borderId="0" xfId="25" applyNumberFormat="1" applyFont="1" applyFill="1" applyBorder="1" applyAlignment="1">
      <alignment horizontal="right"/>
    </xf>
    <xf numFmtId="1" fontId="12" fillId="0" borderId="0" xfId="0" applyNumberFormat="1" applyFont="1" applyFill="1" applyBorder="1" applyAlignment="1">
      <alignment vertical="center"/>
    </xf>
    <xf numFmtId="1" fontId="12" fillId="0" borderId="0" xfId="0" applyNumberFormat="1" applyFont="1" applyFill="1" applyBorder="1" applyAlignment="1">
      <alignment horizontal="center" vertical="center" wrapText="1"/>
    </xf>
    <xf numFmtId="4" fontId="62" fillId="0" borderId="0" xfId="0" applyNumberFormat="1" applyFont="1" applyFill="1" applyBorder="1" applyAlignment="1">
      <alignment horizontal="right" vertical="center"/>
    </xf>
    <xf numFmtId="0" fontId="16" fillId="18" borderId="36" xfId="0" applyFont="1" applyFill="1" applyBorder="1" applyAlignment="1">
      <alignment horizontal="left"/>
    </xf>
    <xf numFmtId="1" fontId="12" fillId="19" borderId="11" xfId="0" applyNumberFormat="1" applyFont="1" applyFill="1" applyBorder="1" applyAlignment="1">
      <alignment horizontal="center" vertical="center"/>
    </xf>
    <xf numFmtId="3" fontId="12" fillId="16" borderId="11" xfId="0" applyNumberFormat="1" applyFont="1" applyFill="1" applyBorder="1" applyAlignment="1">
      <alignment horizontal="right" vertical="center"/>
    </xf>
    <xf numFmtId="4" fontId="14" fillId="30" borderId="11" xfId="0" applyNumberFormat="1" applyFont="1" applyFill="1" applyBorder="1" applyAlignment="1">
      <alignment vertical="center" wrapText="1"/>
    </xf>
    <xf numFmtId="4" fontId="38" fillId="0" borderId="11" xfId="25" applyNumberFormat="1" applyFont="1" applyFill="1" applyBorder="1" applyAlignment="1">
      <alignment horizontal="right"/>
    </xf>
    <xf numFmtId="165" fontId="14" fillId="0" borderId="11" xfId="0" applyNumberFormat="1" applyFont="1" applyBorder="1"/>
    <xf numFmtId="166" fontId="38" fillId="0" borderId="11" xfId="0" applyNumberFormat="1" applyFont="1" applyFill="1" applyBorder="1" applyAlignment="1">
      <alignment horizontal="right" wrapText="1"/>
    </xf>
    <xf numFmtId="177" fontId="38" fillId="0" borderId="11" xfId="9" applyNumberFormat="1" applyFont="1" applyFill="1" applyBorder="1" applyAlignment="1">
      <alignment horizontal="right" vertical="center" wrapText="1"/>
    </xf>
    <xf numFmtId="3" fontId="6" fillId="0" borderId="0" xfId="0" applyNumberFormat="1" applyFont="1" applyFill="1" applyBorder="1" applyAlignment="1">
      <alignment horizontal="right" vertical="center" wrapText="1"/>
    </xf>
    <xf numFmtId="0" fontId="71" fillId="0" borderId="0" xfId="0" applyFont="1" applyFill="1" applyAlignment="1">
      <alignment horizontal="right"/>
    </xf>
    <xf numFmtId="2" fontId="2" fillId="0" borderId="0" xfId="53" applyNumberFormat="1" applyFont="1" applyFill="1"/>
    <xf numFmtId="0" fontId="13" fillId="0" borderId="52" xfId="0" applyFont="1" applyBorder="1"/>
    <xf numFmtId="171" fontId="13" fillId="0" borderId="16" xfId="0" applyNumberFormat="1" applyFont="1" applyBorder="1" applyAlignment="1">
      <alignment horizontal="center"/>
    </xf>
    <xf numFmtId="171" fontId="13" fillId="0" borderId="61" xfId="0" applyNumberFormat="1" applyFont="1" applyBorder="1" applyAlignment="1">
      <alignment horizontal="center"/>
    </xf>
    <xf numFmtId="0" fontId="14" fillId="20" borderId="13" xfId="0" applyFont="1" applyFill="1" applyBorder="1"/>
    <xf numFmtId="0" fontId="50" fillId="16" borderId="36" xfId="0" applyFont="1" applyFill="1" applyBorder="1"/>
    <xf numFmtId="0" fontId="51" fillId="16" borderId="36" xfId="0" applyFont="1" applyFill="1" applyBorder="1"/>
    <xf numFmtId="0" fontId="51" fillId="16" borderId="36" xfId="0" applyFont="1" applyFill="1" applyBorder="1" applyAlignment="1">
      <alignment horizontal="center"/>
    </xf>
    <xf numFmtId="4" fontId="14" fillId="18" borderId="21" xfId="0" applyNumberFormat="1" applyFont="1" applyFill="1" applyBorder="1" applyAlignment="1">
      <alignment horizontal="right"/>
    </xf>
    <xf numFmtId="4" fontId="14" fillId="0" borderId="0" xfId="0" applyNumberFormat="1" applyFont="1" applyFill="1" applyBorder="1" applyAlignment="1">
      <alignment horizontal="center" vertical="center" wrapText="1"/>
    </xf>
    <xf numFmtId="4" fontId="14" fillId="0" borderId="0" xfId="0" applyNumberFormat="1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/>
    </xf>
    <xf numFmtId="166" fontId="13" fillId="0" borderId="11" xfId="25" applyNumberFormat="1" applyFont="1" applyFill="1" applyBorder="1" applyAlignment="1">
      <alignment horizontal="right"/>
    </xf>
    <xf numFmtId="0" fontId="42" fillId="0" borderId="0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left" wrapText="1"/>
    </xf>
    <xf numFmtId="0" fontId="50" fillId="14" borderId="0" xfId="0" applyFont="1" applyFill="1" applyAlignment="1">
      <alignment horizontal="left"/>
    </xf>
    <xf numFmtId="0" fontId="12" fillId="16" borderId="0" xfId="0" applyFont="1" applyFill="1" applyBorder="1" applyAlignment="1">
      <alignment horizontal="left"/>
    </xf>
    <xf numFmtId="0" fontId="16" fillId="18" borderId="0" xfId="0" applyFont="1" applyFill="1" applyBorder="1" applyAlignment="1">
      <alignment horizontal="left"/>
    </xf>
    <xf numFmtId="3" fontId="12" fillId="16" borderId="0" xfId="0" applyNumberFormat="1" applyFont="1" applyFill="1" applyBorder="1" applyAlignment="1">
      <alignment horizontal="right" vertical="center"/>
    </xf>
    <xf numFmtId="0" fontId="14" fillId="17" borderId="43" xfId="0" applyFont="1" applyFill="1" applyBorder="1" applyAlignment="1">
      <alignment horizontal="center" vertical="center"/>
    </xf>
    <xf numFmtId="0" fontId="14" fillId="17" borderId="14" xfId="0" applyFont="1" applyFill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169" fontId="14" fillId="0" borderId="34" xfId="0" applyNumberFormat="1" applyFont="1" applyBorder="1" applyAlignment="1">
      <alignment horizontal="right" vertical="center" wrapText="1"/>
    </xf>
    <xf numFmtId="4" fontId="14" fillId="0" borderId="34" xfId="0" applyNumberFormat="1" applyFont="1" applyBorder="1" applyAlignment="1">
      <alignment horizontal="right" vertical="center" wrapText="1"/>
    </xf>
    <xf numFmtId="3" fontId="62" fillId="0" borderId="11" xfId="0" applyNumberFormat="1" applyFont="1" applyFill="1" applyBorder="1" applyAlignment="1">
      <alignment horizontal="right" vertical="center"/>
    </xf>
    <xf numFmtId="1" fontId="38" fillId="0" borderId="11" xfId="0" applyNumberFormat="1" applyFont="1" applyFill="1" applyBorder="1" applyAlignment="1">
      <alignment horizontal="right" vertical="center" wrapText="1"/>
    </xf>
    <xf numFmtId="0" fontId="16" fillId="0" borderId="0" xfId="0" applyFont="1" applyFill="1" applyBorder="1" applyAlignment="1">
      <alignment horizontal="left" vertical="center" wrapText="1"/>
    </xf>
    <xf numFmtId="4" fontId="14" fillId="0" borderId="0" xfId="0" applyNumberFormat="1" applyFont="1" applyFill="1"/>
    <xf numFmtId="0" fontId="50" fillId="28" borderId="34" xfId="0" applyFont="1" applyFill="1" applyBorder="1"/>
    <xf numFmtId="0" fontId="14" fillId="18" borderId="13" xfId="0" applyFont="1" applyFill="1" applyBorder="1" applyAlignment="1">
      <alignment horizontal="center"/>
    </xf>
    <xf numFmtId="1" fontId="13" fillId="0" borderId="13" xfId="0" applyNumberFormat="1" applyFont="1" applyFill="1" applyBorder="1" applyAlignment="1">
      <alignment horizontal="right" vertical="center" wrapText="1"/>
    </xf>
    <xf numFmtId="3" fontId="14" fillId="17" borderId="11" xfId="0" applyNumberFormat="1" applyFont="1" applyFill="1" applyBorder="1" applyAlignment="1">
      <alignment horizontal="right"/>
    </xf>
    <xf numFmtId="4" fontId="14" fillId="17" borderId="11" xfId="0" applyNumberFormat="1" applyFont="1" applyFill="1" applyBorder="1" applyAlignment="1">
      <alignment horizontal="right"/>
    </xf>
    <xf numFmtId="3" fontId="14" fillId="17" borderId="11" xfId="0" applyNumberFormat="1" applyFont="1" applyFill="1" applyBorder="1" applyAlignment="1">
      <alignment horizontal="right" vertical="center"/>
    </xf>
    <xf numFmtId="3" fontId="13" fillId="17" borderId="11" xfId="0" applyNumberFormat="1" applyFont="1" applyFill="1" applyBorder="1" applyAlignment="1">
      <alignment horizontal="right" vertical="center"/>
    </xf>
    <xf numFmtId="0" fontId="61" fillId="0" borderId="0" xfId="0" applyFont="1" applyFill="1" applyBorder="1" applyAlignment="1">
      <alignment vertical="center" wrapText="1"/>
    </xf>
    <xf numFmtId="172" fontId="14" fillId="0" borderId="0" xfId="0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 vertical="center" wrapText="1"/>
    </xf>
    <xf numFmtId="169" fontId="61" fillId="0" borderId="0" xfId="0" applyNumberFormat="1" applyFont="1" applyFill="1" applyBorder="1" applyAlignment="1">
      <alignment vertical="center" wrapText="1"/>
    </xf>
    <xf numFmtId="1" fontId="66" fillId="21" borderId="0" xfId="0" applyNumberFormat="1" applyFont="1" applyFill="1" applyAlignment="1">
      <alignment horizontal="center"/>
    </xf>
    <xf numFmtId="0" fontId="80" fillId="26" borderId="0" xfId="0" applyFont="1" applyFill="1"/>
    <xf numFmtId="0" fontId="80" fillId="26" borderId="0" xfId="0" applyFont="1" applyFill="1" applyAlignment="1">
      <alignment horizontal="center"/>
    </xf>
    <xf numFmtId="0" fontId="80" fillId="0" borderId="0" xfId="0" applyFont="1" applyFill="1"/>
    <xf numFmtId="0" fontId="80" fillId="0" borderId="0" xfId="0" applyFont="1" applyFill="1" applyAlignment="1">
      <alignment horizontal="center"/>
    </xf>
    <xf numFmtId="0" fontId="80" fillId="29" borderId="11" xfId="0" applyFont="1" applyFill="1" applyBorder="1" applyAlignment="1">
      <alignment horizontal="left" vertical="center"/>
    </xf>
    <xf numFmtId="0" fontId="36" fillId="0" borderId="11" xfId="0" applyFont="1" applyFill="1" applyBorder="1" applyAlignment="1">
      <alignment vertical="center" wrapText="1"/>
    </xf>
    <xf numFmtId="0" fontId="13" fillId="24" borderId="35" xfId="0" applyFont="1" applyFill="1" applyBorder="1"/>
    <xf numFmtId="0" fontId="13" fillId="24" borderId="13" xfId="0" applyFont="1" applyFill="1" applyBorder="1"/>
    <xf numFmtId="0" fontId="13" fillId="24" borderId="22" xfId="0" applyFont="1" applyFill="1" applyBorder="1"/>
    <xf numFmtId="0" fontId="14" fillId="0" borderId="0" xfId="35" applyFont="1"/>
    <xf numFmtId="0" fontId="13" fillId="0" borderId="0" xfId="35" applyFont="1" applyFill="1" applyBorder="1" applyAlignment="1">
      <alignment horizontal="center"/>
    </xf>
    <xf numFmtId="0" fontId="14" fillId="0" borderId="0" xfId="35" applyFont="1" applyAlignment="1">
      <alignment horizontal="right"/>
    </xf>
    <xf numFmtId="0" fontId="14" fillId="0" borderId="11" xfId="35" applyFont="1" applyBorder="1" applyAlignment="1">
      <alignment horizontal="center"/>
    </xf>
    <xf numFmtId="0" fontId="14" fillId="0" borderId="0" xfId="35" applyFont="1" applyFill="1" applyBorder="1" applyAlignment="1">
      <alignment horizontal="center"/>
    </xf>
    <xf numFmtId="0" fontId="13" fillId="0" borderId="11" xfId="35" applyFont="1" applyBorder="1"/>
    <xf numFmtId="0" fontId="13" fillId="0" borderId="11" xfId="35" applyFont="1" applyBorder="1" applyAlignment="1">
      <alignment horizontal="center"/>
    </xf>
    <xf numFmtId="0" fontId="13" fillId="0" borderId="0" xfId="35" applyFont="1" applyFill="1" applyBorder="1" applyAlignment="1"/>
    <xf numFmtId="0" fontId="14" fillId="0" borderId="0" xfId="35" applyFont="1" applyFill="1" applyBorder="1"/>
    <xf numFmtId="0" fontId="14" fillId="0" borderId="0" xfId="35" applyFont="1" applyAlignment="1"/>
    <xf numFmtId="0" fontId="54" fillId="0" borderId="0" xfId="35" applyFont="1"/>
    <xf numFmtId="0" fontId="54" fillId="0" borderId="0" xfId="35" applyFont="1" applyAlignment="1"/>
    <xf numFmtId="0" fontId="81" fillId="0" borderId="0" xfId="0" applyFont="1"/>
    <xf numFmtId="0" fontId="54" fillId="0" borderId="0" xfId="35" applyFont="1" applyBorder="1"/>
    <xf numFmtId="0" fontId="14" fillId="0" borderId="0" xfId="0" applyFont="1" applyBorder="1" applyAlignment="1">
      <alignment horizontal="right" vertical="center" wrapText="1"/>
    </xf>
    <xf numFmtId="0" fontId="16" fillId="0" borderId="0" xfId="0" applyFont="1" applyBorder="1" applyAlignment="1">
      <alignment wrapText="1"/>
    </xf>
    <xf numFmtId="3" fontId="14" fillId="0" borderId="12" xfId="0" applyNumberFormat="1" applyFont="1" applyBorder="1" applyAlignment="1">
      <alignment wrapText="1"/>
    </xf>
    <xf numFmtId="3" fontId="14" fillId="0" borderId="11" xfId="0" applyNumberFormat="1" applyFont="1" applyBorder="1" applyAlignment="1">
      <alignment wrapText="1"/>
    </xf>
    <xf numFmtId="0" fontId="16" fillId="0" borderId="12" xfId="0" applyFont="1" applyBorder="1" applyAlignment="1">
      <alignment wrapText="1"/>
    </xf>
    <xf numFmtId="0" fontId="16" fillId="0" borderId="0" xfId="0" applyFont="1" applyBorder="1" applyAlignment="1">
      <alignment horizontal="left" wrapText="1"/>
    </xf>
    <xf numFmtId="3" fontId="16" fillId="0" borderId="0" xfId="0" applyNumberFormat="1" applyFont="1" applyBorder="1" applyAlignment="1">
      <alignment wrapText="1"/>
    </xf>
    <xf numFmtId="3" fontId="13" fillId="0" borderId="11" xfId="35" applyNumberFormat="1" applyFont="1" applyBorder="1" applyAlignment="1">
      <alignment horizontal="center"/>
    </xf>
    <xf numFmtId="0" fontId="14" fillId="17" borderId="14" xfId="0" applyFont="1" applyFill="1" applyBorder="1" applyAlignment="1">
      <alignment horizontal="center"/>
    </xf>
    <xf numFmtId="0" fontId="14" fillId="17" borderId="41" xfId="0" applyFont="1" applyFill="1" applyBorder="1" applyAlignment="1">
      <alignment horizontal="center"/>
    </xf>
    <xf numFmtId="0" fontId="14" fillId="17" borderId="43" xfId="0" applyFont="1" applyFill="1" applyBorder="1" applyAlignment="1">
      <alignment horizontal="center"/>
    </xf>
    <xf numFmtId="0" fontId="16" fillId="17" borderId="14" xfId="0" applyFont="1" applyFill="1" applyBorder="1" applyAlignment="1">
      <alignment horizontal="center"/>
    </xf>
    <xf numFmtId="0" fontId="16" fillId="17" borderId="47" xfId="0" applyFont="1" applyFill="1" applyBorder="1" applyAlignment="1">
      <alignment horizontal="center"/>
    </xf>
    <xf numFmtId="0" fontId="36" fillId="13" borderId="11" xfId="0" applyFont="1" applyFill="1" applyBorder="1" applyAlignment="1">
      <alignment horizontal="center" vertical="center" wrapText="1"/>
    </xf>
    <xf numFmtId="0" fontId="36" fillId="13" borderId="11" xfId="0" applyFont="1" applyFill="1" applyBorder="1" applyAlignment="1">
      <alignment horizontal="left" vertical="center" wrapText="1"/>
    </xf>
    <xf numFmtId="3" fontId="13" fillId="0" borderId="13" xfId="0" applyNumberFormat="1" applyFont="1" applyFill="1" applyBorder="1" applyAlignment="1">
      <alignment horizontal="right" vertical="center" wrapText="1"/>
    </xf>
    <xf numFmtId="3" fontId="13" fillId="0" borderId="29" xfId="0" applyNumberFormat="1" applyFont="1" applyFill="1" applyBorder="1" applyAlignment="1">
      <alignment horizontal="right" vertical="center" wrapText="1"/>
    </xf>
    <xf numFmtId="3" fontId="36" fillId="0" borderId="13" xfId="0" applyNumberFormat="1" applyFont="1" applyFill="1" applyBorder="1" applyAlignment="1">
      <alignment horizontal="right" vertical="center" wrapText="1"/>
    </xf>
    <xf numFmtId="3" fontId="36" fillId="0" borderId="11" xfId="0" applyNumberFormat="1" applyFont="1" applyFill="1" applyBorder="1" applyAlignment="1">
      <alignment horizontal="right" vertical="center" wrapText="1"/>
    </xf>
    <xf numFmtId="1" fontId="13" fillId="0" borderId="38" xfId="0" applyNumberFormat="1" applyFont="1" applyFill="1" applyBorder="1" applyAlignment="1">
      <alignment horizontal="right" vertical="center" wrapText="1"/>
    </xf>
    <xf numFmtId="0" fontId="38" fillId="18" borderId="25" xfId="0" applyFont="1" applyFill="1" applyBorder="1"/>
    <xf numFmtId="3" fontId="36" fillId="0" borderId="29" xfId="0" applyNumberFormat="1" applyFont="1" applyFill="1" applyBorder="1" applyAlignment="1">
      <alignment horizontal="right" vertical="center" wrapText="1"/>
    </xf>
    <xf numFmtId="3" fontId="36" fillId="0" borderId="19" xfId="0" applyNumberFormat="1" applyFont="1" applyFill="1" applyBorder="1" applyAlignment="1">
      <alignment horizontal="right" vertical="center" wrapText="1"/>
    </xf>
    <xf numFmtId="1" fontId="13" fillId="0" borderId="29" xfId="0" applyNumberFormat="1" applyFont="1" applyFill="1" applyBorder="1" applyAlignment="1">
      <alignment horizontal="right" vertical="center" wrapText="1"/>
    </xf>
    <xf numFmtId="2" fontId="71" fillId="0" borderId="0" xfId="48" applyNumberFormat="1"/>
    <xf numFmtId="3" fontId="50" fillId="22" borderId="15" xfId="0" applyNumberFormat="1" applyFont="1" applyFill="1" applyBorder="1" applyAlignment="1">
      <alignment horizontal="right" vertical="center"/>
    </xf>
    <xf numFmtId="4" fontId="50" fillId="22" borderId="14" xfId="25" applyNumberFormat="1" applyFont="1" applyFill="1" applyBorder="1" applyAlignment="1">
      <alignment horizontal="right" vertical="center"/>
    </xf>
    <xf numFmtId="3" fontId="14" fillId="0" borderId="11" xfId="35" applyNumberFormat="1" applyFont="1" applyBorder="1" applyAlignment="1">
      <alignment horizontal="center"/>
    </xf>
    <xf numFmtId="10" fontId="49" fillId="31" borderId="0" xfId="25" applyNumberFormat="1" applyFont="1" applyFill="1" applyBorder="1" applyAlignment="1">
      <alignment horizontal="right" vertical="center"/>
    </xf>
    <xf numFmtId="172" fontId="14" fillId="18" borderId="11" xfId="0" applyNumberFormat="1" applyFont="1" applyFill="1" applyBorder="1"/>
    <xf numFmtId="9" fontId="62" fillId="0" borderId="0" xfId="25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vertical="center" wrapText="1"/>
    </xf>
    <xf numFmtId="10" fontId="62" fillId="0" borderId="0" xfId="25" applyNumberFormat="1" applyFont="1" applyFill="1" applyBorder="1" applyAlignment="1">
      <alignment horizontal="right" vertical="center"/>
    </xf>
    <xf numFmtId="0" fontId="36" fillId="18" borderId="25" xfId="0" applyFont="1" applyFill="1" applyBorder="1"/>
    <xf numFmtId="0" fontId="36" fillId="18" borderId="13" xfId="0" applyFont="1" applyFill="1" applyBorder="1" applyAlignment="1">
      <alignment horizontal="center"/>
    </xf>
    <xf numFmtId="0" fontId="36" fillId="0" borderId="0" xfId="0" applyFont="1" applyBorder="1"/>
    <xf numFmtId="0" fontId="14" fillId="0" borderId="12" xfId="35" applyFont="1" applyBorder="1" applyAlignment="1">
      <alignment horizontal="right"/>
    </xf>
    <xf numFmtId="0" fontId="51" fillId="14" borderId="11" xfId="0" applyFont="1" applyFill="1" applyBorder="1"/>
    <xf numFmtId="0" fontId="36" fillId="0" borderId="11" xfId="0" applyFont="1" applyBorder="1"/>
    <xf numFmtId="0" fontId="13" fillId="0" borderId="12" xfId="35" applyFont="1" applyBorder="1" applyAlignment="1">
      <alignment horizontal="center"/>
    </xf>
    <xf numFmtId="0" fontId="16" fillId="18" borderId="35" xfId="0" applyFont="1" applyFill="1" applyBorder="1" applyAlignment="1">
      <alignment horizontal="left" wrapText="1"/>
    </xf>
    <xf numFmtId="0" fontId="16" fillId="18" borderId="16" xfId="0" applyFont="1" applyFill="1" applyBorder="1" applyAlignment="1">
      <alignment horizontal="left" wrapText="1"/>
    </xf>
    <xf numFmtId="0" fontId="16" fillId="18" borderId="13" xfId="0" applyFont="1" applyFill="1" applyBorder="1" applyAlignment="1">
      <alignment horizontal="left" wrapText="1"/>
    </xf>
    <xf numFmtId="4" fontId="14" fillId="0" borderId="0" xfId="0" applyNumberFormat="1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center" wrapText="1"/>
    </xf>
    <xf numFmtId="0" fontId="77" fillId="0" borderId="14" xfId="0" applyFont="1" applyFill="1" applyBorder="1" applyAlignment="1">
      <alignment horizontal="center" vertical="center" wrapText="1"/>
    </xf>
    <xf numFmtId="0" fontId="77" fillId="0" borderId="12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left" wrapText="1"/>
    </xf>
    <xf numFmtId="0" fontId="42" fillId="0" borderId="0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 wrapText="1"/>
    </xf>
    <xf numFmtId="0" fontId="16" fillId="18" borderId="11" xfId="0" applyFont="1" applyFill="1" applyBorder="1" applyAlignment="1">
      <alignment horizontal="left" vertical="center" wrapText="1"/>
    </xf>
    <xf numFmtId="3" fontId="42" fillId="0" borderId="0" xfId="0" applyNumberFormat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/>
    </xf>
    <xf numFmtId="3" fontId="14" fillId="0" borderId="0" xfId="25" applyNumberFormat="1" applyFont="1" applyFill="1" applyBorder="1" applyAlignment="1">
      <alignment horizontal="center"/>
    </xf>
    <xf numFmtId="1" fontId="12" fillId="19" borderId="14" xfId="0" applyNumberFormat="1" applyFont="1" applyFill="1" applyBorder="1" applyAlignment="1">
      <alignment horizontal="center" vertical="center"/>
    </xf>
    <xf numFmtId="1" fontId="12" fillId="19" borderId="31" xfId="0" applyNumberFormat="1" applyFont="1" applyFill="1" applyBorder="1" applyAlignment="1">
      <alignment horizontal="center" vertical="center"/>
    </xf>
    <xf numFmtId="0" fontId="31" fillId="15" borderId="11" xfId="0" applyFont="1" applyFill="1" applyBorder="1" applyAlignment="1">
      <alignment horizontal="center" vertical="center" wrapText="1"/>
    </xf>
    <xf numFmtId="0" fontId="13" fillId="15" borderId="11" xfId="0" applyFont="1" applyFill="1" applyBorder="1" applyAlignment="1">
      <alignment horizontal="center" vertical="center" wrapText="1"/>
    </xf>
    <xf numFmtId="4" fontId="14" fillId="0" borderId="20" xfId="0" applyNumberFormat="1" applyFont="1" applyFill="1" applyBorder="1" applyAlignment="1">
      <alignment horizontal="center" vertical="center" wrapText="1"/>
    </xf>
    <xf numFmtId="4" fontId="14" fillId="0" borderId="21" xfId="0" applyNumberFormat="1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6" fillId="0" borderId="57" xfId="0" applyFont="1" applyFill="1" applyBorder="1" applyAlignment="1">
      <alignment horizontal="center" vertical="center" wrapText="1"/>
    </xf>
    <xf numFmtId="0" fontId="79" fillId="0" borderId="0" xfId="0" applyFont="1" applyAlignment="1">
      <alignment horizontal="center"/>
    </xf>
    <xf numFmtId="0" fontId="16" fillId="18" borderId="3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>
      <alignment horizontal="center" vertical="center" wrapText="1"/>
    </xf>
    <xf numFmtId="0" fontId="16" fillId="18" borderId="13" xfId="0" applyFont="1" applyFill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4" fontId="14" fillId="0" borderId="11" xfId="0" applyNumberFormat="1" applyFont="1" applyFill="1" applyBorder="1" applyAlignment="1">
      <alignment horizontal="center"/>
    </xf>
    <xf numFmtId="3" fontId="13" fillId="0" borderId="55" xfId="0" applyNumberFormat="1" applyFont="1" applyBorder="1" applyAlignment="1">
      <alignment horizontal="center" vertical="center" wrapText="1"/>
    </xf>
    <xf numFmtId="3" fontId="13" fillId="0" borderId="36" xfId="0" applyNumberFormat="1" applyFont="1" applyBorder="1" applyAlignment="1">
      <alignment horizontal="center" vertical="center" wrapText="1"/>
    </xf>
    <xf numFmtId="3" fontId="13" fillId="0" borderId="46" xfId="0" applyNumberFormat="1" applyFont="1" applyBorder="1" applyAlignment="1">
      <alignment horizontal="center" vertical="center" wrapText="1"/>
    </xf>
    <xf numFmtId="10" fontId="13" fillId="0" borderId="55" xfId="25" applyNumberFormat="1" applyFont="1" applyBorder="1" applyAlignment="1">
      <alignment horizontal="center" vertical="center" wrapText="1"/>
    </xf>
    <xf numFmtId="10" fontId="13" fillId="0" borderId="36" xfId="25" applyNumberFormat="1" applyFont="1" applyBorder="1" applyAlignment="1">
      <alignment horizontal="center" vertical="center" wrapText="1"/>
    </xf>
    <xf numFmtId="10" fontId="13" fillId="0" borderId="46" xfId="25" applyNumberFormat="1" applyFont="1" applyBorder="1" applyAlignment="1">
      <alignment horizontal="center" vertical="center" wrapText="1"/>
    </xf>
    <xf numFmtId="4" fontId="13" fillId="0" borderId="56" xfId="0" applyNumberFormat="1" applyFont="1" applyBorder="1" applyAlignment="1">
      <alignment horizontal="center" vertical="center" wrapText="1"/>
    </xf>
    <xf numFmtId="4" fontId="13" fillId="0" borderId="48" xfId="0" applyNumberFormat="1" applyFont="1" applyBorder="1" applyAlignment="1">
      <alignment horizontal="center" vertical="center" wrapText="1"/>
    </xf>
    <xf numFmtId="4" fontId="13" fillId="0" borderId="49" xfId="0" applyNumberFormat="1" applyFont="1" applyBorder="1" applyAlignment="1">
      <alignment horizontal="center" vertical="center" wrapText="1"/>
    </xf>
    <xf numFmtId="3" fontId="14" fillId="0" borderId="55" xfId="0" applyNumberFormat="1" applyFont="1" applyBorder="1" applyAlignment="1">
      <alignment horizontal="center" vertical="center" wrapText="1"/>
    </xf>
    <xf numFmtId="3" fontId="14" fillId="0" borderId="36" xfId="0" applyNumberFormat="1" applyFont="1" applyBorder="1" applyAlignment="1">
      <alignment horizontal="center" vertical="center" wrapText="1"/>
    </xf>
    <xf numFmtId="3" fontId="14" fillId="0" borderId="46" xfId="0" applyNumberFormat="1" applyFont="1" applyBorder="1" applyAlignment="1">
      <alignment horizontal="center" vertical="center" wrapText="1"/>
    </xf>
    <xf numFmtId="3" fontId="14" fillId="0" borderId="63" xfId="0" applyNumberFormat="1" applyFont="1" applyBorder="1" applyAlignment="1">
      <alignment horizontal="center" vertical="center" wrapText="1"/>
    </xf>
    <xf numFmtId="3" fontId="14" fillId="0" borderId="33" xfId="0" applyNumberFormat="1" applyFont="1" applyBorder="1" applyAlignment="1">
      <alignment horizontal="center" vertical="center" wrapText="1"/>
    </xf>
    <xf numFmtId="3" fontId="14" fillId="0" borderId="54" xfId="0" applyNumberFormat="1" applyFont="1" applyBorder="1" applyAlignment="1">
      <alignment horizontal="center" vertical="center" wrapText="1"/>
    </xf>
    <xf numFmtId="3" fontId="13" fillId="0" borderId="62" xfId="0" applyNumberFormat="1" applyFont="1" applyBorder="1" applyAlignment="1">
      <alignment horizontal="center" vertical="center" wrapText="1"/>
    </xf>
    <xf numFmtId="3" fontId="13" fillId="0" borderId="44" xfId="0" applyNumberFormat="1" applyFont="1" applyBorder="1" applyAlignment="1">
      <alignment horizontal="center" vertical="center" wrapText="1"/>
    </xf>
    <xf numFmtId="3" fontId="13" fillId="0" borderId="45" xfId="0" applyNumberFormat="1" applyFont="1" applyBorder="1" applyAlignment="1">
      <alignment horizontal="center" vertical="center" wrapText="1"/>
    </xf>
    <xf numFmtId="0" fontId="13" fillId="13" borderId="11" xfId="0" applyFont="1" applyFill="1" applyBorder="1" applyAlignment="1">
      <alignment horizontal="left" vertical="center" wrapText="1"/>
    </xf>
    <xf numFmtId="0" fontId="66" fillId="13" borderId="36" xfId="0" applyFont="1" applyFill="1" applyBorder="1" applyAlignment="1">
      <alignment horizontal="center"/>
    </xf>
    <xf numFmtId="0" fontId="66" fillId="13" borderId="12" xfId="0" applyFont="1" applyFill="1" applyBorder="1" applyAlignment="1">
      <alignment horizontal="center"/>
    </xf>
    <xf numFmtId="0" fontId="50" fillId="14" borderId="0" xfId="0" applyFont="1" applyFill="1" applyAlignment="1">
      <alignment horizontal="left"/>
    </xf>
    <xf numFmtId="0" fontId="39" fillId="0" borderId="0" xfId="0" applyFont="1" applyFill="1" applyBorder="1" applyAlignment="1">
      <alignment horizontal="left" wrapText="1"/>
    </xf>
  </cellXfs>
  <cellStyles count="56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Dziesiętny" xfId="9" builtinId="3"/>
    <cellStyle name="Dziesiętny 2" xfId="46" xr:uid="{00000000-0005-0000-0000-000009000000}"/>
    <cellStyle name="Kolumna" xfId="49" xr:uid="{00000000-0005-0000-0000-00000A000000}"/>
    <cellStyle name="Kolumna 2" xfId="52" xr:uid="{00000000-0005-0000-0000-00000B000000}"/>
    <cellStyle name="Komórka połączona" xfId="10" builtinId="24" customBuiltin="1"/>
    <cellStyle name="Komórka zaznaczona" xfId="11" builtinId="23" customBuiltin="1"/>
    <cellStyle name="Migliaia (0)_10 Tigaz Tariffe" xfId="12" xr:uid="{00000000-0005-0000-0000-00000E000000}"/>
    <cellStyle name="Migliaia_10 Tigaz Tariffe" xfId="13" xr:uid="{00000000-0005-0000-0000-00000F000000}"/>
    <cellStyle name="Milliers [0]_DCF1204" xfId="14" xr:uid="{00000000-0005-0000-0000-000010000000}"/>
    <cellStyle name="Milliers_ANAFI" xfId="15" xr:uid="{00000000-0005-0000-0000-000011000000}"/>
    <cellStyle name="Monétaire [0]_DCF1204" xfId="16" xr:uid="{00000000-0005-0000-0000-000012000000}"/>
    <cellStyle name="Monétaire_ANAFI" xfId="17" xr:uid="{00000000-0005-0000-0000-000013000000}"/>
    <cellStyle name="Nagłówek 1" xfId="18" builtinId="16" customBuiltin="1"/>
    <cellStyle name="Nagłówek 2" xfId="19" builtinId="17" customBuiltin="1"/>
    <cellStyle name="Nagłówek 3" xfId="20" builtinId="18" customBuiltin="1"/>
    <cellStyle name="Nagłówek 4" xfId="21" builtinId="19" customBuiltin="1"/>
    <cellStyle name="Normal_A" xfId="22" xr:uid="{00000000-0005-0000-0000-000018000000}"/>
    <cellStyle name="Normale_10 Tigaz Tariffe" xfId="23" xr:uid="{00000000-0005-0000-0000-000019000000}"/>
    <cellStyle name="Normalny" xfId="0" builtinId="0"/>
    <cellStyle name="Normalny 10" xfId="53" xr:uid="{00000000-0005-0000-0000-00001B000000}"/>
    <cellStyle name="Normalny 2" xfId="35" xr:uid="{00000000-0005-0000-0000-00001C000000}"/>
    <cellStyle name="Normalny 2 2" xfId="47" xr:uid="{00000000-0005-0000-0000-00001D000000}"/>
    <cellStyle name="Normalny 2 3" xfId="50" xr:uid="{00000000-0005-0000-0000-00001E000000}"/>
    <cellStyle name="Normalny 2 4" xfId="55" xr:uid="{00000000-0005-0000-0000-00001F000000}"/>
    <cellStyle name="Normalny 3" xfId="38" xr:uid="{00000000-0005-0000-0000-000020000000}"/>
    <cellStyle name="Normalny 3 2" xfId="45" xr:uid="{00000000-0005-0000-0000-000021000000}"/>
    <cellStyle name="Normalny 4" xfId="39" xr:uid="{00000000-0005-0000-0000-000022000000}"/>
    <cellStyle name="Normalny 5" xfId="37" xr:uid="{00000000-0005-0000-0000-000023000000}"/>
    <cellStyle name="Normalny 6" xfId="44" xr:uid="{00000000-0005-0000-0000-000024000000}"/>
    <cellStyle name="Normalny 6 2" xfId="40" xr:uid="{00000000-0005-0000-0000-000025000000}"/>
    <cellStyle name="Normalny 7" xfId="48" xr:uid="{00000000-0005-0000-0000-000026000000}"/>
    <cellStyle name="Normalny 8" xfId="43" xr:uid="{00000000-0005-0000-0000-000027000000}"/>
    <cellStyle name="Normalny 9" xfId="41" xr:uid="{00000000-0005-0000-0000-000028000000}"/>
    <cellStyle name="Obliczenia" xfId="24" builtinId="22" customBuiltin="1"/>
    <cellStyle name="Procentowy" xfId="25" builtinId="5"/>
    <cellStyle name="Procentowy 2" xfId="51" xr:uid="{00000000-0005-0000-0000-00002B000000}"/>
    <cellStyle name="Procentowy 2 2" xfId="42" xr:uid="{00000000-0005-0000-0000-00002C000000}"/>
    <cellStyle name="Procentowy 3" xfId="54" xr:uid="{00000000-0005-0000-0000-00002D000000}"/>
    <cellStyle name="style1402052376171" xfId="34" xr:uid="{00000000-0005-0000-0000-00002E000000}"/>
    <cellStyle name="style1402052381546" xfId="33" xr:uid="{00000000-0005-0000-0000-00002F000000}"/>
    <cellStyle name="Suma" xfId="26" builtinId="25" customBuiltin="1"/>
    <cellStyle name="Tekst objaśnienia" xfId="27" builtinId="53" customBuiltin="1"/>
    <cellStyle name="Tekst ostrzeżenia" xfId="28" builtinId="11" customBuiltin="1"/>
    <cellStyle name="Tytuł" xfId="29" builtinId="15" customBuiltin="1"/>
    <cellStyle name="Uwaga" xfId="30" builtinId="10" customBuiltin="1"/>
    <cellStyle name="Valuta (0)_10 Tigaz Tariffe" xfId="31" xr:uid="{00000000-0005-0000-0000-000035000000}"/>
    <cellStyle name="Valuta_10 Tigaz Tariffe" xfId="32" xr:uid="{00000000-0005-0000-0000-000036000000}"/>
    <cellStyle name="Walutowy 2" xfId="36" xr:uid="{00000000-0005-0000-0000-000037000000}"/>
  </cellStyles>
  <dxfs count="4">
    <dxf>
      <font>
        <color theme="0" tint="-0.24994659260841701"/>
      </font>
      <fill>
        <patternFill>
          <bgColor theme="0" tint="-0.14996795556505021"/>
        </patternFill>
      </fill>
    </dxf>
    <dxf>
      <font>
        <color theme="0" tint="-0.24994659260841701"/>
      </font>
      <fill>
        <patternFill>
          <bgColor theme="0" tint="-0.14996795556505021"/>
        </patternFill>
      </fill>
    </dxf>
    <dxf>
      <font>
        <color theme="0" tint="-0.2499465926084170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9F9F"/>
      <color rgb="FF8CA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Nowy%20model\Model_bazowy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AREA\Richard%20(HD)\Techniq%20(HD)\EXCEL\RJ%20new%20files\RJ%20files%20for%20AMM%20meeting\RJ%20value%203FAG%20report\Richard%20(HD)\Techniq%20(HD)\MODEL\BVT%20DCF%20Model%209902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ES\OUTILS\EVALUATI\ANAFI\ANAF_F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ES\OUTILS\EVALUATI\ANAFI\ANFR02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ES\OUTILS\EVALUATI\ANAFI\ANUK02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DVISORY\MANAGERS\MARTIN\PER\AAMULEHT\PRES1195\TURUV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Wykaz_odwolan"/>
      <sheetName val="Dane wejściowe"/>
      <sheetName val="ITERACJE"/>
      <sheetName val="Affordability"/>
      <sheetName val="Dochód mieszkańców"/>
      <sheetName val="Naklady inwestycyjne"/>
      <sheetName val="Harmonogram"/>
      <sheetName val="inwestycje w 2004"/>
      <sheetName val="Aport"/>
      <sheetName val="finansowanie VAT i pomostowe"/>
      <sheetName val="Finansowanie"/>
      <sheetName val="Dotacja FS"/>
      <sheetName val="PZF"/>
      <sheetName val="NFOŚ etap 1"/>
      <sheetName val="NFOŚ etap 2"/>
      <sheetName val="Kredyty komercyjny 2"/>
      <sheetName val="płatnicza etap 1"/>
      <sheetName val="OPŁATY"/>
      <sheetName val="platnicza etap 2"/>
      <sheetName val="OZ"/>
      <sheetName val="PPS"/>
      <sheetName val="KE RAZEM"/>
      <sheetName val="KE_osad"/>
      <sheetName val="KE_osadowka"/>
      <sheetName val="BEP"/>
      <sheetName val="Cena - Wniosek"/>
      <sheetName val="Przeds"/>
      <sheetName val="Rezerwy"/>
      <sheetName val="VAT"/>
      <sheetName val="KON"/>
      <sheetName val="Amort Maj Spółki - bezp"/>
      <sheetName val="Amort Maj Spółki - wydzial"/>
      <sheetName val="Amort Maj Spółki - inni"/>
      <sheetName val="Amortyzacja"/>
      <sheetName val="RW_n"/>
      <sheetName val="B_n"/>
      <sheetName val="rozd_16"/>
      <sheetName val="PPextended_n"/>
      <sheetName val="Obciazenie_mieszkancow"/>
      <sheetName val="NPV systemu"/>
      <sheetName val="Wykresy"/>
      <sheetName val="Wskaźniki-now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>
        <row r="54">
          <cell r="B54">
            <v>0.19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ers"/>
      <sheetName val="DCF"/>
      <sheetName val="Normative FCF"/>
      <sheetName val="Cash Flow Fade"/>
      <sheetName val="Graphs"/>
      <sheetName val="FUNKCJONOWANIE JRP -propozycja"/>
    </sheetNames>
    <sheetDataSet>
      <sheetData sheetId="0" refreshError="1">
        <row r="7">
          <cell r="F7" t="str">
            <v>COMPANY</v>
          </cell>
        </row>
        <row r="8">
          <cell r="F8" t="str">
            <v>millions de francs</v>
          </cell>
        </row>
        <row r="10">
          <cell r="F10">
            <v>36160</v>
          </cell>
        </row>
        <row r="13">
          <cell r="F13">
            <v>2004</v>
          </cell>
          <cell r="I13">
            <v>5</v>
          </cell>
        </row>
        <row r="33">
          <cell r="F33">
            <v>8.2500000000000004E-2</v>
          </cell>
        </row>
      </sheetData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mode d_emploi"/>
      <sheetName val="dem_t "/>
    </sheetNames>
    <sheetDataSet>
      <sheetData sheetId="0"/>
      <sheetData sheetId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ANAFI"/>
      <sheetName val="Graph"/>
      <sheetName val="AEF"/>
      <sheetName val="Macro"/>
      <sheetName val="mode d_emploi"/>
      <sheetName val="KOSZTY"/>
    </sheetNames>
    <sheetDataSet>
      <sheetData sheetId="0" refreshError="1">
        <row r="34">
          <cell r="C34" t="str">
            <v>FRF</v>
          </cell>
          <cell r="D34" t="str">
            <v>millions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 guide"/>
      <sheetName val="ANAFANG"/>
      <sheetName val="GRAPH"/>
      <sheetName val="GRAPH (2)"/>
      <sheetName val="Macro"/>
      <sheetName val="Wolumen"/>
    </sheetNames>
    <sheetDataSet>
      <sheetData sheetId="0" refreshError="1">
        <row r="13">
          <cell r="D13">
            <v>36033</v>
          </cell>
        </row>
        <row r="14">
          <cell r="D14" t="str">
            <v>COMPANY 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es Sphinx"/>
      <sheetName val="Inputs Sphinx"/>
      <sheetName val="PRZYCHODYNP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8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808080"/>
          </a:outerShdw>
        </a:effectLst>
      </a:spPr>
      <a:bodyPr wrap="none" lIns="18288" tIns="0" rIns="0" bIns="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8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808080"/>
          </a:outerShdw>
        </a:effectLst>
      </a:spPr>
      <a:bodyPr wrap="none" lIns="18288" tIns="0" rIns="0" bIns="0" upright="1">
        <a:spAutoFit/>
      </a:bodyPr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upt.gov.pl/index.php?option=com_content&amp;view=article&amp;id=692&amp;Itemid=411Pobranie%20z%20dnia%2025-10-202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8">
    <tabColor theme="6" tint="-0.249977111117893"/>
  </sheetPr>
  <dimension ref="B2:C12"/>
  <sheetViews>
    <sheetView showGridLines="0" tabSelected="1" workbookViewId="0"/>
  </sheetViews>
  <sheetFormatPr defaultColWidth="8.85546875" defaultRowHeight="12"/>
  <cols>
    <col min="1" max="1" width="8.85546875" style="45"/>
    <col min="2" max="2" width="24.7109375" style="45" bestFit="1" customWidth="1"/>
    <col min="3" max="3" width="103.7109375" style="45" customWidth="1"/>
    <col min="4" max="16384" width="8.85546875" style="45"/>
  </cols>
  <sheetData>
    <row r="2" spans="2:3" ht="53.25" customHeight="1"/>
    <row r="3" spans="2:3">
      <c r="B3" s="548" t="s">
        <v>117</v>
      </c>
      <c r="C3" s="549" t="s">
        <v>263</v>
      </c>
    </row>
    <row r="4" spans="2:3" s="178" customFormat="1" ht="6" customHeight="1">
      <c r="B4" s="550"/>
      <c r="C4" s="551"/>
    </row>
    <row r="5" spans="2:3" ht="46.5" customHeight="1">
      <c r="B5" s="552" t="s">
        <v>257</v>
      </c>
      <c r="C5" s="553" t="s">
        <v>264</v>
      </c>
    </row>
    <row r="6" spans="2:3" ht="25.5" customHeight="1">
      <c r="B6" s="552" t="s">
        <v>118</v>
      </c>
      <c r="C6" s="553" t="s">
        <v>384</v>
      </c>
    </row>
    <row r="7" spans="2:3" ht="48">
      <c r="B7" s="552" t="s">
        <v>119</v>
      </c>
      <c r="C7" s="553" t="s">
        <v>500</v>
      </c>
    </row>
    <row r="8" spans="2:3" ht="25.5" customHeight="1">
      <c r="B8" s="552" t="s">
        <v>120</v>
      </c>
      <c r="C8" s="553" t="s">
        <v>385</v>
      </c>
    </row>
    <row r="9" spans="2:3" ht="25.5" customHeight="1">
      <c r="B9" s="552" t="s">
        <v>172</v>
      </c>
      <c r="C9" s="553" t="s">
        <v>390</v>
      </c>
    </row>
    <row r="10" spans="2:3" ht="25.5" customHeight="1">
      <c r="B10" s="552" t="s">
        <v>258</v>
      </c>
      <c r="C10" s="553" t="s">
        <v>265</v>
      </c>
    </row>
    <row r="11" spans="2:3" ht="24">
      <c r="B11" s="552" t="s">
        <v>230</v>
      </c>
      <c r="C11" s="553" t="s">
        <v>499</v>
      </c>
    </row>
    <row r="12" spans="2:3">
      <c r="B12" s="552" t="s">
        <v>493</v>
      </c>
      <c r="C12" s="553" t="s">
        <v>492</v>
      </c>
    </row>
  </sheetData>
  <phoneticPr fontId="7" type="noConversion"/>
  <hyperlinks>
    <hyperlink ref="C11" r:id="rId1" xr:uid="{3E1792A2-613B-48A5-9031-C9850D73237F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>
    <tabColor rgb="FF002060"/>
    <pageSetUpPr fitToPage="1"/>
  </sheetPr>
  <dimension ref="A2:EU856"/>
  <sheetViews>
    <sheetView showGridLines="0" zoomScale="90" zoomScaleNormal="90" zoomScalePageLayoutView="80" workbookViewId="0"/>
  </sheetViews>
  <sheetFormatPr defaultColWidth="9.140625" defaultRowHeight="12" outlineLevelRow="2" outlineLevelCol="1"/>
  <cols>
    <col min="1" max="1" width="13.5703125" style="1" customWidth="1"/>
    <col min="2" max="2" width="76.7109375" style="1" customWidth="1"/>
    <col min="3" max="3" width="16.140625" style="1" customWidth="1"/>
    <col min="4" max="4" width="42.140625" style="1" customWidth="1" outlineLevel="1"/>
    <col min="5" max="5" width="16.5703125" style="1" customWidth="1"/>
    <col min="6" max="6" width="16.85546875" style="1" customWidth="1"/>
    <col min="7" max="7" width="20.28515625" style="1" customWidth="1"/>
    <col min="8" max="8" width="15" style="1" customWidth="1"/>
    <col min="9" max="9" width="14.5703125" style="1" customWidth="1"/>
    <col min="10" max="10" width="16.85546875" style="1" customWidth="1"/>
    <col min="11" max="11" width="15.28515625" style="1" customWidth="1"/>
    <col min="12" max="12" width="13.85546875" style="1" customWidth="1"/>
    <col min="13" max="13" width="13.42578125" style="1" customWidth="1"/>
    <col min="14" max="14" width="16.140625" style="1" customWidth="1"/>
    <col min="15" max="15" width="13.42578125" style="1" customWidth="1"/>
    <col min="16" max="16" width="14.140625" style="1" customWidth="1"/>
    <col min="17" max="24" width="13.42578125" style="1" customWidth="1"/>
    <col min="25" max="26" width="11.85546875" style="1" customWidth="1"/>
    <col min="27" max="27" width="12.7109375" style="1" customWidth="1"/>
    <col min="28" max="28" width="12.5703125" style="1" customWidth="1"/>
    <col min="29" max="34" width="11.85546875" style="1" customWidth="1"/>
    <col min="35" max="35" width="14.140625" style="1" customWidth="1"/>
    <col min="36" max="40" width="11.85546875" style="1" customWidth="1"/>
    <col min="41" max="41" width="26.5703125" style="1" customWidth="1"/>
    <col min="42" max="42" width="13" style="1" customWidth="1"/>
    <col min="43" max="43" width="14.28515625" style="1" customWidth="1"/>
    <col min="44" max="44" width="17" style="1" customWidth="1"/>
    <col min="45" max="49" width="12.42578125" style="1" customWidth="1"/>
    <col min="50" max="16384" width="9.140625" style="1"/>
  </cols>
  <sheetData>
    <row r="2" spans="1:21">
      <c r="B2" s="255" t="s">
        <v>470</v>
      </c>
      <c r="C2" s="256"/>
      <c r="D2" s="256"/>
      <c r="E2" s="623"/>
      <c r="F2" s="623"/>
      <c r="G2" s="623"/>
      <c r="H2" s="623"/>
      <c r="I2" s="623"/>
      <c r="J2" s="623"/>
      <c r="K2" s="623"/>
      <c r="L2" s="623"/>
      <c r="M2" s="623"/>
      <c r="N2" s="623"/>
      <c r="O2" s="623"/>
    </row>
    <row r="3" spans="1:21" s="4" customFormat="1"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21" s="4" customFormat="1">
      <c r="A4" s="269" t="s">
        <v>18</v>
      </c>
      <c r="B4" s="95" t="s">
        <v>25</v>
      </c>
      <c r="C4" s="270" t="s">
        <v>128</v>
      </c>
      <c r="D4" s="270" t="s">
        <v>378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21" s="4" customFormat="1" ht="5.25" customHeight="1">
      <c r="A5" s="271"/>
      <c r="B5" s="271"/>
      <c r="C5" s="272"/>
      <c r="D5" s="272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21">
      <c r="B6" s="273" t="s">
        <v>12</v>
      </c>
      <c r="C6" s="148" t="s">
        <v>90</v>
      </c>
      <c r="D6" s="274"/>
      <c r="E6" s="5">
        <v>2021</v>
      </c>
      <c r="F6" s="3"/>
      <c r="G6" s="3"/>
      <c r="H6" s="3"/>
      <c r="I6" s="3"/>
      <c r="J6" s="3"/>
      <c r="K6" s="3"/>
      <c r="L6" s="3"/>
      <c r="M6" s="3"/>
      <c r="N6" s="3"/>
      <c r="O6" s="3"/>
    </row>
    <row r="7" spans="1:21">
      <c r="B7" s="273" t="s">
        <v>207</v>
      </c>
      <c r="C7" s="148" t="s">
        <v>90</v>
      </c>
      <c r="D7" s="275"/>
      <c r="E7" s="5">
        <v>2021</v>
      </c>
      <c r="K7" s="6"/>
      <c r="L7" s="6"/>
    </row>
    <row r="8" spans="1:21">
      <c r="B8" s="273" t="s">
        <v>208</v>
      </c>
      <c r="C8" s="148" t="s">
        <v>90</v>
      </c>
      <c r="D8" s="275"/>
      <c r="E8" s="8">
        <f>E7+E9</f>
        <v>2036</v>
      </c>
      <c r="F8" s="9"/>
      <c r="K8" s="6"/>
      <c r="L8" s="6"/>
    </row>
    <row r="9" spans="1:21">
      <c r="B9" s="273" t="s">
        <v>4</v>
      </c>
      <c r="C9" s="276" t="s">
        <v>28</v>
      </c>
      <c r="D9" s="277"/>
      <c r="E9" s="5">
        <v>15</v>
      </c>
      <c r="K9" s="6"/>
      <c r="L9" s="6"/>
    </row>
    <row r="10" spans="1:21">
      <c r="B10" s="273" t="s">
        <v>176</v>
      </c>
      <c r="C10" s="276" t="s">
        <v>28</v>
      </c>
      <c r="D10" s="278"/>
      <c r="E10" s="5" t="s">
        <v>371</v>
      </c>
      <c r="K10" s="6"/>
      <c r="L10" s="6"/>
    </row>
    <row r="11" spans="1:21">
      <c r="N11" s="10"/>
    </row>
    <row r="12" spans="1:21">
      <c r="A12" s="269" t="s">
        <v>19</v>
      </c>
      <c r="B12" s="95" t="s">
        <v>116</v>
      </c>
      <c r="C12" s="95"/>
      <c r="D12" s="95"/>
      <c r="E12" s="84">
        <v>1</v>
      </c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</row>
    <row r="13" spans="1:21" s="6" customFormat="1" ht="2.25" customHeight="1">
      <c r="A13" s="271"/>
      <c r="B13" s="271"/>
      <c r="C13" s="271"/>
      <c r="D13" s="271"/>
      <c r="E13" s="151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</row>
    <row r="14" spans="1:21">
      <c r="B14" s="89" t="s">
        <v>3</v>
      </c>
      <c r="C14" s="89"/>
      <c r="D14" s="89"/>
      <c r="E14" s="90">
        <f>E7</f>
        <v>2021</v>
      </c>
      <c r="F14" s="90">
        <f>E14+1</f>
        <v>2022</v>
      </c>
      <c r="G14" s="90">
        <f t="shared" ref="G14:S14" si="0">F14+1</f>
        <v>2023</v>
      </c>
      <c r="H14" s="90">
        <f t="shared" si="0"/>
        <v>2024</v>
      </c>
      <c r="I14" s="90">
        <f t="shared" si="0"/>
        <v>2025</v>
      </c>
      <c r="J14" s="90">
        <f t="shared" si="0"/>
        <v>2026</v>
      </c>
      <c r="K14" s="90">
        <f t="shared" si="0"/>
        <v>2027</v>
      </c>
      <c r="L14" s="90">
        <f t="shared" si="0"/>
        <v>2028</v>
      </c>
      <c r="M14" s="90">
        <f t="shared" si="0"/>
        <v>2029</v>
      </c>
      <c r="N14" s="90">
        <f t="shared" si="0"/>
        <v>2030</v>
      </c>
      <c r="O14" s="90">
        <f t="shared" si="0"/>
        <v>2031</v>
      </c>
      <c r="P14" s="90">
        <f t="shared" si="0"/>
        <v>2032</v>
      </c>
      <c r="Q14" s="90">
        <f t="shared" si="0"/>
        <v>2033</v>
      </c>
      <c r="R14" s="90">
        <f t="shared" si="0"/>
        <v>2034</v>
      </c>
      <c r="S14" s="90">
        <f t="shared" si="0"/>
        <v>2035</v>
      </c>
      <c r="T14" s="90">
        <f t="shared" ref="T14" si="1">S14+1</f>
        <v>2036</v>
      </c>
      <c r="U14" s="90">
        <f t="shared" ref="U14" si="2">T14+1</f>
        <v>2037</v>
      </c>
    </row>
    <row r="15" spans="1:21" s="28" customFormat="1">
      <c r="A15" s="96"/>
      <c r="B15" s="130" t="s">
        <v>115</v>
      </c>
      <c r="C15" s="144" t="s">
        <v>1</v>
      </c>
      <c r="D15" s="279" t="s">
        <v>119</v>
      </c>
      <c r="E15" s="280">
        <v>5.0859638194736378E-2</v>
      </c>
      <c r="F15" s="280">
        <v>4.8006970475459987E-2</v>
      </c>
      <c r="G15" s="280">
        <v>3.9155930727881927E-2</v>
      </c>
      <c r="H15" s="280">
        <v>3.733258139454354E-2</v>
      </c>
      <c r="I15" s="280">
        <v>3.7518786368159196E-2</v>
      </c>
      <c r="J15" s="280">
        <v>3.7706455761210345E-2</v>
      </c>
      <c r="K15" s="280">
        <v>3.6892515611971932E-2</v>
      </c>
      <c r="L15" s="280">
        <v>3.6076957665707621E-2</v>
      </c>
      <c r="M15" s="280">
        <v>3.4253571375826075E-2</v>
      </c>
      <c r="N15" s="280">
        <v>3.2423849994862364E-2</v>
      </c>
      <c r="O15" s="280">
        <v>3.1618745552850491E-2</v>
      </c>
      <c r="P15" s="280">
        <v>3.0801303386341239E-2</v>
      </c>
      <c r="Q15" s="280">
        <v>2.9969980765553572E-2</v>
      </c>
      <c r="R15" s="280">
        <v>2.9122738275874749E-2</v>
      </c>
      <c r="S15" s="280">
        <v>2.9259718465759921E-2</v>
      </c>
      <c r="T15" s="280">
        <v>2.8391519012207933E-2</v>
      </c>
      <c r="U15" s="280">
        <v>2.7506816674384371E-2</v>
      </c>
    </row>
    <row r="16" spans="1:21">
      <c r="A16" s="96"/>
      <c r="B16" s="130" t="s">
        <v>16</v>
      </c>
      <c r="C16" s="144" t="s">
        <v>1</v>
      </c>
      <c r="D16" s="279" t="s">
        <v>257</v>
      </c>
      <c r="E16" s="136">
        <v>0.04</v>
      </c>
      <c r="F16" s="137">
        <f>IF(F$14="","",E16)</f>
        <v>0.04</v>
      </c>
      <c r="G16" s="137">
        <f t="shared" ref="G16:S16" si="3">IF(G$14="","",F16)</f>
        <v>0.04</v>
      </c>
      <c r="H16" s="137">
        <f t="shared" si="3"/>
        <v>0.04</v>
      </c>
      <c r="I16" s="137">
        <f t="shared" si="3"/>
        <v>0.04</v>
      </c>
      <c r="J16" s="137">
        <f t="shared" si="3"/>
        <v>0.04</v>
      </c>
      <c r="K16" s="137">
        <f t="shared" si="3"/>
        <v>0.04</v>
      </c>
      <c r="L16" s="137">
        <f t="shared" si="3"/>
        <v>0.04</v>
      </c>
      <c r="M16" s="137">
        <f t="shared" si="3"/>
        <v>0.04</v>
      </c>
      <c r="N16" s="137">
        <f t="shared" si="3"/>
        <v>0.04</v>
      </c>
      <c r="O16" s="137">
        <f t="shared" si="3"/>
        <v>0.04</v>
      </c>
      <c r="P16" s="137">
        <f t="shared" si="3"/>
        <v>0.04</v>
      </c>
      <c r="Q16" s="137">
        <f t="shared" si="3"/>
        <v>0.04</v>
      </c>
      <c r="R16" s="137">
        <f t="shared" si="3"/>
        <v>0.04</v>
      </c>
      <c r="S16" s="137">
        <f t="shared" si="3"/>
        <v>0.04</v>
      </c>
      <c r="T16" s="137">
        <f t="shared" ref="T16" si="4">IF(T$14="","",S16)</f>
        <v>0.04</v>
      </c>
      <c r="U16" s="137">
        <f t="shared" ref="U16" si="5">IF(U$14="","",T16)</f>
        <v>0.04</v>
      </c>
    </row>
    <row r="17" spans="1:21">
      <c r="A17" s="96"/>
      <c r="B17" s="130" t="s">
        <v>17</v>
      </c>
      <c r="C17" s="144" t="s">
        <v>1</v>
      </c>
      <c r="D17" s="279" t="s">
        <v>257</v>
      </c>
      <c r="E17" s="136">
        <v>4.4999999999999998E-2</v>
      </c>
      <c r="F17" s="136">
        <f t="shared" ref="F17" si="6">E17</f>
        <v>4.4999999999999998E-2</v>
      </c>
      <c r="G17" s="136">
        <f t="shared" ref="G17:S17" si="7">F17</f>
        <v>4.4999999999999998E-2</v>
      </c>
      <c r="H17" s="136">
        <f t="shared" si="7"/>
        <v>4.4999999999999998E-2</v>
      </c>
      <c r="I17" s="136">
        <f t="shared" si="7"/>
        <v>4.4999999999999998E-2</v>
      </c>
      <c r="J17" s="136">
        <f t="shared" si="7"/>
        <v>4.4999999999999998E-2</v>
      </c>
      <c r="K17" s="136">
        <f t="shared" si="7"/>
        <v>4.4999999999999998E-2</v>
      </c>
      <c r="L17" s="136">
        <f t="shared" si="7"/>
        <v>4.4999999999999998E-2</v>
      </c>
      <c r="M17" s="136">
        <f t="shared" si="7"/>
        <v>4.4999999999999998E-2</v>
      </c>
      <c r="N17" s="136">
        <f t="shared" si="7"/>
        <v>4.4999999999999998E-2</v>
      </c>
      <c r="O17" s="136">
        <f t="shared" si="7"/>
        <v>4.4999999999999998E-2</v>
      </c>
      <c r="P17" s="136">
        <f t="shared" si="7"/>
        <v>4.4999999999999998E-2</v>
      </c>
      <c r="Q17" s="136">
        <f t="shared" si="7"/>
        <v>4.4999999999999998E-2</v>
      </c>
      <c r="R17" s="136">
        <f t="shared" si="7"/>
        <v>4.4999999999999998E-2</v>
      </c>
      <c r="S17" s="136">
        <f t="shared" si="7"/>
        <v>4.4999999999999998E-2</v>
      </c>
      <c r="T17" s="136">
        <f t="shared" ref="T17" si="8">S17</f>
        <v>4.4999999999999998E-2</v>
      </c>
      <c r="U17" s="136">
        <f t="shared" ref="U17" si="9">T17</f>
        <v>4.4999999999999998E-2</v>
      </c>
    </row>
    <row r="18" spans="1:21"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</row>
    <row r="19" spans="1:21"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</row>
    <row r="20" spans="1:21">
      <c r="A20" s="269" t="s">
        <v>20</v>
      </c>
      <c r="B20" s="95" t="s">
        <v>143</v>
      </c>
      <c r="C20" s="95"/>
      <c r="D20" s="95"/>
      <c r="E20" s="84"/>
      <c r="F20" s="281" t="s">
        <v>295</v>
      </c>
      <c r="G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</row>
    <row r="21" spans="1:21" s="6" customFormat="1" ht="5.25" customHeight="1">
      <c r="A21" s="271"/>
      <c r="B21" s="271"/>
      <c r="C21" s="271"/>
      <c r="D21" s="271"/>
      <c r="E21" s="151"/>
      <c r="F21" s="152"/>
      <c r="G21" s="152"/>
      <c r="H21" s="28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</row>
    <row r="22" spans="1:21">
      <c r="A22" s="96"/>
      <c r="B22" s="130"/>
      <c r="C22" s="144"/>
      <c r="D22" s="27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</row>
    <row r="23" spans="1:21">
      <c r="A23" s="96"/>
      <c r="B23" s="131" t="s">
        <v>150</v>
      </c>
      <c r="C23" s="144"/>
      <c r="D23" s="279"/>
      <c r="E23" s="90">
        <f t="shared" ref="E23:U23" si="10">E14</f>
        <v>2021</v>
      </c>
      <c r="F23" s="90">
        <f t="shared" si="10"/>
        <v>2022</v>
      </c>
      <c r="G23" s="90">
        <f t="shared" si="10"/>
        <v>2023</v>
      </c>
      <c r="H23" s="90">
        <f t="shared" si="10"/>
        <v>2024</v>
      </c>
      <c r="I23" s="90">
        <f t="shared" si="10"/>
        <v>2025</v>
      </c>
      <c r="J23" s="90">
        <f t="shared" si="10"/>
        <v>2026</v>
      </c>
      <c r="K23" s="90">
        <f t="shared" si="10"/>
        <v>2027</v>
      </c>
      <c r="L23" s="90">
        <f t="shared" si="10"/>
        <v>2028</v>
      </c>
      <c r="M23" s="90">
        <f t="shared" si="10"/>
        <v>2029</v>
      </c>
      <c r="N23" s="90">
        <f t="shared" si="10"/>
        <v>2030</v>
      </c>
      <c r="O23" s="90">
        <f t="shared" si="10"/>
        <v>2031</v>
      </c>
      <c r="P23" s="90">
        <f t="shared" si="10"/>
        <v>2032</v>
      </c>
      <c r="Q23" s="90">
        <f t="shared" si="10"/>
        <v>2033</v>
      </c>
      <c r="R23" s="90">
        <f t="shared" si="10"/>
        <v>2034</v>
      </c>
      <c r="S23" s="90">
        <f t="shared" si="10"/>
        <v>2035</v>
      </c>
      <c r="T23" s="90">
        <f t="shared" si="10"/>
        <v>2036</v>
      </c>
      <c r="U23" s="90">
        <f t="shared" si="10"/>
        <v>2037</v>
      </c>
    </row>
    <row r="24" spans="1:21">
      <c r="A24" s="96"/>
      <c r="B24" s="130" t="s">
        <v>147</v>
      </c>
      <c r="C24" s="144" t="s">
        <v>146</v>
      </c>
      <c r="D24" s="279" t="s">
        <v>119</v>
      </c>
      <c r="E24" s="160">
        <v>0.2808965675893908</v>
      </c>
      <c r="F24" s="150">
        <v>0.29232560582758255</v>
      </c>
      <c r="G24" s="150">
        <v>0.30355253921013109</v>
      </c>
      <c r="H24" s="150">
        <v>0.3130612449681987</v>
      </c>
      <c r="I24" s="150">
        <v>0.32241115249560065</v>
      </c>
      <c r="J24" s="150">
        <v>0.33208833261815618</v>
      </c>
      <c r="K24" s="150">
        <v>0.34210583183630067</v>
      </c>
      <c r="L24" s="150">
        <v>0.35220274762987458</v>
      </c>
      <c r="M24" s="150">
        <v>0.36236787052266572</v>
      </c>
      <c r="N24" s="150">
        <v>0.37229778549646908</v>
      </c>
      <c r="O24" s="150">
        <v>0.38195484753675463</v>
      </c>
      <c r="P24" s="150">
        <v>0.3916163940463086</v>
      </c>
      <c r="Q24" s="150">
        <v>0.40126623033757691</v>
      </c>
      <c r="R24" s="150">
        <v>0.41088698330164358</v>
      </c>
      <c r="S24" s="150">
        <v>0.42045990656216953</v>
      </c>
      <c r="T24" s="150">
        <v>0.43030193735588862</v>
      </c>
      <c r="U24" s="150">
        <v>0.44007547786423235</v>
      </c>
    </row>
    <row r="25" spans="1:21">
      <c r="A25" s="96"/>
      <c r="B25" s="130" t="s">
        <v>148</v>
      </c>
      <c r="C25" s="144" t="s">
        <v>146</v>
      </c>
      <c r="D25" s="279" t="s">
        <v>119</v>
      </c>
      <c r="E25" s="160">
        <v>0.51167842758041537</v>
      </c>
      <c r="F25" s="150">
        <v>0.53249745133944859</v>
      </c>
      <c r="G25" s="150">
        <v>0.55294832287921702</v>
      </c>
      <c r="H25" s="150">
        <v>0.5702692878606227</v>
      </c>
      <c r="I25" s="150">
        <v>0.58730098754531479</v>
      </c>
      <c r="J25" s="150">
        <v>0.60492884377373202</v>
      </c>
      <c r="K25" s="150">
        <v>0.62317662192287948</v>
      </c>
      <c r="L25" s="150">
        <v>0.64156906452552409</v>
      </c>
      <c r="M25" s="150">
        <v>0.66008575250993617</v>
      </c>
      <c r="N25" s="150">
        <v>0.67817398806014817</v>
      </c>
      <c r="O25" s="150">
        <v>0.69576519738757203</v>
      </c>
      <c r="P25" s="150">
        <v>0.7133645755801532</v>
      </c>
      <c r="Q25" s="150">
        <v>0.73094262255416353</v>
      </c>
      <c r="R25" s="150">
        <v>0.74846769162510074</v>
      </c>
      <c r="S25" s="150">
        <v>0.76590563457801741</v>
      </c>
      <c r="T25" s="150">
        <v>0.78383378116929103</v>
      </c>
      <c r="U25" s="150">
        <v>0.80163716652967409</v>
      </c>
    </row>
    <row r="26" spans="1:21">
      <c r="A26" s="96"/>
      <c r="B26" s="130" t="s">
        <v>149</v>
      </c>
      <c r="C26" s="144" t="s">
        <v>146</v>
      </c>
      <c r="D26" s="279" t="s">
        <v>119</v>
      </c>
      <c r="E26" s="160">
        <v>0.35782385425306568</v>
      </c>
      <c r="F26" s="150">
        <v>0.37238288766487126</v>
      </c>
      <c r="G26" s="150">
        <v>0.3866844670998264</v>
      </c>
      <c r="H26" s="150">
        <v>0.39879725926567333</v>
      </c>
      <c r="I26" s="150">
        <v>0.4107077641788387</v>
      </c>
      <c r="J26" s="150">
        <v>0.42303516967001475</v>
      </c>
      <c r="K26" s="150">
        <v>0.4357960951984936</v>
      </c>
      <c r="L26" s="150">
        <v>0.4486581865950911</v>
      </c>
      <c r="M26" s="150">
        <v>0.46160716451842254</v>
      </c>
      <c r="N26" s="150">
        <v>0.47425651968436211</v>
      </c>
      <c r="O26" s="150">
        <v>0.48655829748702706</v>
      </c>
      <c r="P26" s="150">
        <v>0.49886578789092351</v>
      </c>
      <c r="Q26" s="150">
        <v>0.51115836107643908</v>
      </c>
      <c r="R26" s="150">
        <v>0.52341388607612926</v>
      </c>
      <c r="S26" s="150">
        <v>0.53560848256745219</v>
      </c>
      <c r="T26" s="150">
        <v>0.54814588529368946</v>
      </c>
      <c r="U26" s="150">
        <v>0.56059604075271297</v>
      </c>
    </row>
    <row r="27" spans="1:21">
      <c r="A27" s="96"/>
      <c r="B27" s="130"/>
      <c r="C27" s="144"/>
      <c r="D27" s="279"/>
      <c r="E27" s="162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</row>
    <row r="28" spans="1:21" ht="24">
      <c r="A28" s="96"/>
      <c r="B28" s="266" t="s">
        <v>451</v>
      </c>
      <c r="C28" s="267" t="s">
        <v>1</v>
      </c>
      <c r="D28" s="283" t="s">
        <v>266</v>
      </c>
      <c r="E28" s="175">
        <v>0.8</v>
      </c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3"/>
    </row>
    <row r="29" spans="1:21" ht="48">
      <c r="A29" s="96"/>
      <c r="B29" s="266" t="s">
        <v>453</v>
      </c>
      <c r="C29" s="267" t="s">
        <v>1</v>
      </c>
      <c r="D29" s="283" t="s">
        <v>173</v>
      </c>
      <c r="E29" s="193">
        <v>0.05</v>
      </c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3"/>
    </row>
    <row r="30" spans="1:21" ht="24">
      <c r="A30" s="96"/>
      <c r="B30" s="266" t="s">
        <v>454</v>
      </c>
      <c r="C30" s="267" t="s">
        <v>1</v>
      </c>
      <c r="D30" s="462" t="s">
        <v>266</v>
      </c>
      <c r="E30" s="193">
        <v>0.1</v>
      </c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3"/>
    </row>
    <row r="31" spans="1:21">
      <c r="A31" s="96"/>
      <c r="B31" s="130"/>
      <c r="C31" s="144"/>
      <c r="D31" s="283"/>
      <c r="E31" s="134"/>
      <c r="F31" s="624"/>
      <c r="G31" s="624"/>
      <c r="H31" s="624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</row>
    <row r="32" spans="1:21">
      <c r="A32" s="96"/>
      <c r="B32" s="130"/>
      <c r="C32" s="141"/>
      <c r="D32" s="283"/>
      <c r="E32" s="145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</row>
    <row r="33" spans="1:19">
      <c r="A33" s="96"/>
      <c r="B33" s="131" t="s">
        <v>195</v>
      </c>
      <c r="C33" s="144" t="s">
        <v>90</v>
      </c>
      <c r="D33" s="283" t="s">
        <v>165</v>
      </c>
      <c r="E33" s="138">
        <v>0.83</v>
      </c>
      <c r="F33" s="129"/>
      <c r="G33" s="129"/>
      <c r="H33" s="12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</row>
    <row r="34" spans="1:19">
      <c r="A34" s="96"/>
      <c r="B34" s="131" t="s">
        <v>196</v>
      </c>
      <c r="C34" s="144" t="s">
        <v>90</v>
      </c>
      <c r="D34" s="283" t="s">
        <v>197</v>
      </c>
      <c r="E34" s="138">
        <v>0.87</v>
      </c>
      <c r="F34" s="129"/>
      <c r="G34" s="129"/>
      <c r="H34" s="12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</row>
    <row r="35" spans="1:19">
      <c r="A35" s="96"/>
      <c r="B35" s="131" t="s">
        <v>96</v>
      </c>
      <c r="C35" s="144" t="s">
        <v>90</v>
      </c>
      <c r="D35" s="283" t="s">
        <v>165</v>
      </c>
      <c r="E35" s="138">
        <v>0.78</v>
      </c>
      <c r="F35" s="129"/>
      <c r="G35" s="129"/>
      <c r="H35" s="12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</row>
    <row r="36" spans="1:19">
      <c r="A36" s="96"/>
      <c r="B36" s="130"/>
      <c r="C36" s="141"/>
      <c r="D36" s="283"/>
      <c r="E36" s="129"/>
      <c r="F36" s="49"/>
      <c r="G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</row>
    <row r="37" spans="1:19">
      <c r="A37" s="96"/>
      <c r="B37" s="131" t="s">
        <v>260</v>
      </c>
      <c r="C37" s="142"/>
      <c r="D37" s="283"/>
      <c r="E37" s="156" t="s">
        <v>426</v>
      </c>
      <c r="F37" s="156" t="s">
        <v>432</v>
      </c>
      <c r="G37" s="156" t="s">
        <v>427</v>
      </c>
      <c r="H37" s="156" t="s">
        <v>428</v>
      </c>
      <c r="I37" s="156" t="s">
        <v>429</v>
      </c>
      <c r="J37" s="156" t="s">
        <v>430</v>
      </c>
      <c r="K37" s="155">
        <f t="shared" ref="K37:S37" si="11">K14</f>
        <v>2027</v>
      </c>
      <c r="L37" s="155">
        <f t="shared" si="11"/>
        <v>2028</v>
      </c>
      <c r="M37" s="155">
        <f t="shared" si="11"/>
        <v>2029</v>
      </c>
      <c r="N37" s="155">
        <f t="shared" si="11"/>
        <v>2030</v>
      </c>
      <c r="O37" s="155">
        <f t="shared" si="11"/>
        <v>2031</v>
      </c>
      <c r="P37" s="155">
        <f t="shared" si="11"/>
        <v>2032</v>
      </c>
      <c r="Q37" s="155">
        <f t="shared" si="11"/>
        <v>2033</v>
      </c>
      <c r="R37" s="155">
        <f t="shared" si="11"/>
        <v>2034</v>
      </c>
      <c r="S37" s="155">
        <f t="shared" si="11"/>
        <v>2035</v>
      </c>
    </row>
    <row r="38" spans="1:19">
      <c r="A38" s="96"/>
      <c r="B38" s="130" t="s">
        <v>185</v>
      </c>
      <c r="C38" s="144" t="s">
        <v>194</v>
      </c>
      <c r="D38" s="283" t="s">
        <v>230</v>
      </c>
      <c r="E38" s="202">
        <v>1.1000000000000001</v>
      </c>
      <c r="F38" s="202">
        <v>1.1000000000000001</v>
      </c>
      <c r="G38" s="202">
        <v>0.66</v>
      </c>
      <c r="H38" s="202">
        <v>0.46</v>
      </c>
      <c r="I38" s="202">
        <v>0.46</v>
      </c>
      <c r="J38" s="202">
        <v>0.13</v>
      </c>
      <c r="N38" s="155"/>
      <c r="O38" s="155"/>
      <c r="P38" s="155"/>
      <c r="Q38" s="155"/>
      <c r="R38" s="155"/>
      <c r="S38" s="155"/>
    </row>
    <row r="39" spans="1:19">
      <c r="A39" s="96"/>
      <c r="B39" s="130" t="s">
        <v>62</v>
      </c>
      <c r="C39" s="144" t="s">
        <v>194</v>
      </c>
      <c r="D39" s="283" t="s">
        <v>230</v>
      </c>
      <c r="E39" s="202">
        <v>8</v>
      </c>
      <c r="F39" s="202">
        <v>7</v>
      </c>
      <c r="G39" s="202">
        <v>5</v>
      </c>
      <c r="H39" s="202">
        <v>3.5</v>
      </c>
      <c r="I39" s="202">
        <v>2</v>
      </c>
      <c r="J39" s="202">
        <v>0.4</v>
      </c>
      <c r="N39" s="155"/>
      <c r="O39" s="155"/>
      <c r="P39" s="155"/>
      <c r="Q39" s="155"/>
      <c r="R39" s="155"/>
      <c r="S39" s="155"/>
    </row>
    <row r="40" spans="1:19">
      <c r="A40" s="96"/>
      <c r="B40" s="130" t="s">
        <v>63</v>
      </c>
      <c r="C40" s="144" t="s">
        <v>194</v>
      </c>
      <c r="D40" s="283" t="s">
        <v>230</v>
      </c>
      <c r="E40" s="202">
        <v>0.36</v>
      </c>
      <c r="F40" s="202">
        <v>0.15</v>
      </c>
      <c r="G40" s="202">
        <v>0.1</v>
      </c>
      <c r="H40" s="202">
        <v>0.02</v>
      </c>
      <c r="I40" s="202">
        <v>0.02</v>
      </c>
      <c r="J40" s="202">
        <v>0.01</v>
      </c>
      <c r="N40" s="155"/>
      <c r="O40" s="155"/>
      <c r="P40" s="155"/>
      <c r="Q40" s="155"/>
      <c r="R40" s="155"/>
      <c r="S40" s="155"/>
    </row>
    <row r="41" spans="1:19">
      <c r="B41" s="131"/>
      <c r="C41" s="142"/>
      <c r="D41" s="283"/>
      <c r="N41" s="155"/>
      <c r="O41" s="155"/>
      <c r="P41" s="155"/>
      <c r="Q41" s="155"/>
      <c r="R41" s="155"/>
      <c r="S41" s="155"/>
    </row>
    <row r="42" spans="1:19">
      <c r="B42" s="131"/>
      <c r="C42" s="142"/>
      <c r="D42" s="283"/>
      <c r="N42" s="155"/>
      <c r="O42" s="155"/>
      <c r="P42" s="155"/>
      <c r="Q42" s="155"/>
      <c r="R42" s="155"/>
      <c r="S42" s="155"/>
    </row>
    <row r="43" spans="1:19">
      <c r="B43" s="131" t="s">
        <v>209</v>
      </c>
      <c r="C43" s="142"/>
      <c r="D43" s="283"/>
      <c r="N43" s="155"/>
      <c r="O43" s="155"/>
      <c r="P43" s="155"/>
      <c r="Q43" s="155"/>
      <c r="R43" s="155"/>
      <c r="S43" s="155"/>
    </row>
    <row r="44" spans="1:19">
      <c r="B44" s="130" t="s">
        <v>261</v>
      </c>
      <c r="C44" s="142"/>
      <c r="D44" s="283" t="s">
        <v>230</v>
      </c>
      <c r="E44" s="284"/>
      <c r="F44" s="284">
        <v>36</v>
      </c>
      <c r="G44" s="284" t="s">
        <v>187</v>
      </c>
      <c r="N44" s="155"/>
      <c r="O44" s="155"/>
      <c r="P44" s="155"/>
      <c r="Q44" s="155"/>
      <c r="R44" s="155"/>
      <c r="S44" s="155"/>
    </row>
    <row r="45" spans="1:19">
      <c r="B45" s="130" t="s">
        <v>188</v>
      </c>
      <c r="C45" s="142"/>
      <c r="D45" s="283" t="s">
        <v>230</v>
      </c>
      <c r="E45" s="466" t="s">
        <v>189</v>
      </c>
      <c r="F45" s="284">
        <v>3.6</v>
      </c>
      <c r="G45" s="284" t="s">
        <v>190</v>
      </c>
      <c r="N45" s="155"/>
      <c r="O45" s="155"/>
      <c r="P45" s="155"/>
      <c r="Q45" s="155"/>
      <c r="R45" s="155"/>
      <c r="S45" s="155"/>
    </row>
    <row r="46" spans="1:19">
      <c r="B46" s="130" t="s">
        <v>261</v>
      </c>
      <c r="C46" s="142"/>
      <c r="D46" s="283" t="s">
        <v>230</v>
      </c>
      <c r="E46" s="467"/>
      <c r="F46" s="285">
        <f>F44/F45</f>
        <v>10</v>
      </c>
      <c r="G46" s="284" t="s">
        <v>191</v>
      </c>
      <c r="N46" s="155"/>
      <c r="O46" s="155"/>
      <c r="P46" s="155"/>
      <c r="Q46" s="155"/>
      <c r="R46" s="155"/>
      <c r="S46" s="155"/>
    </row>
    <row r="47" spans="1:19">
      <c r="B47" s="131"/>
      <c r="C47" s="142"/>
      <c r="D47" s="283"/>
      <c r="E47" s="96"/>
      <c r="N47" s="155"/>
      <c r="O47" s="155"/>
      <c r="P47" s="155"/>
      <c r="Q47" s="155"/>
      <c r="R47" s="155"/>
      <c r="S47" s="155"/>
    </row>
    <row r="48" spans="1:19">
      <c r="B48" s="130"/>
      <c r="C48" s="142"/>
      <c r="D48" s="283"/>
      <c r="E48" s="4"/>
      <c r="F48" s="307"/>
      <c r="G48" s="4"/>
      <c r="N48" s="155"/>
      <c r="O48" s="155"/>
      <c r="P48" s="155"/>
      <c r="Q48" s="155"/>
      <c r="R48" s="155"/>
      <c r="S48" s="155"/>
    </row>
    <row r="49" spans="1:19">
      <c r="B49" s="131"/>
      <c r="C49" s="142"/>
      <c r="D49" s="283"/>
      <c r="N49" s="155"/>
      <c r="O49" s="155"/>
      <c r="P49" s="155"/>
      <c r="Q49" s="155"/>
      <c r="R49" s="155"/>
      <c r="S49" s="155"/>
    </row>
    <row r="50" spans="1:19">
      <c r="A50" s="96"/>
      <c r="B50" s="554" t="s">
        <v>376</v>
      </c>
      <c r="C50" s="131"/>
      <c r="D50" s="283"/>
      <c r="E50" s="631" t="s">
        <v>198</v>
      </c>
      <c r="F50" s="632"/>
      <c r="G50" s="632"/>
      <c r="H50" s="632"/>
      <c r="I50" s="286"/>
      <c r="J50" s="286"/>
      <c r="K50" s="286"/>
      <c r="L50" s="286"/>
      <c r="M50" s="286"/>
      <c r="N50" s="286"/>
      <c r="O50" s="155"/>
      <c r="P50" s="155"/>
      <c r="Q50" s="155"/>
      <c r="R50" s="155"/>
      <c r="S50" s="155"/>
    </row>
    <row r="51" spans="1:19">
      <c r="A51" s="96"/>
      <c r="B51" s="555"/>
      <c r="C51" s="131"/>
      <c r="D51" s="283"/>
      <c r="E51" s="616" t="s">
        <v>473</v>
      </c>
      <c r="F51" s="617"/>
      <c r="G51" s="616" t="s">
        <v>472</v>
      </c>
      <c r="H51" s="617"/>
      <c r="I51" s="616" t="s">
        <v>468</v>
      </c>
      <c r="J51" s="617"/>
      <c r="K51" s="286"/>
      <c r="L51" s="286"/>
      <c r="M51" s="286"/>
      <c r="N51" s="286"/>
      <c r="O51" s="155"/>
      <c r="P51" s="155"/>
      <c r="Q51" s="155"/>
      <c r="R51" s="155"/>
      <c r="S51" s="155"/>
    </row>
    <row r="52" spans="1:19">
      <c r="A52" s="96"/>
      <c r="B52" s="130" t="s">
        <v>64</v>
      </c>
      <c r="C52" s="131"/>
      <c r="D52" s="283"/>
      <c r="E52" s="217" t="s">
        <v>209</v>
      </c>
      <c r="F52" s="217" t="s">
        <v>340</v>
      </c>
      <c r="G52" s="217" t="s">
        <v>209</v>
      </c>
      <c r="H52" s="217" t="s">
        <v>340</v>
      </c>
      <c r="I52" s="217" t="s">
        <v>209</v>
      </c>
      <c r="J52" s="217" t="s">
        <v>340</v>
      </c>
      <c r="K52" s="286"/>
      <c r="L52" s="286"/>
      <c r="M52" s="286"/>
      <c r="N52" s="286"/>
      <c r="O52" s="155"/>
      <c r="P52" s="155"/>
      <c r="Q52" s="155"/>
      <c r="R52" s="155"/>
      <c r="S52" s="155"/>
    </row>
    <row r="53" spans="1:19" ht="24">
      <c r="A53" s="96"/>
      <c r="B53" s="268" t="s">
        <v>426</v>
      </c>
      <c r="C53" s="267" t="s">
        <v>192</v>
      </c>
      <c r="D53" s="283" t="s">
        <v>267</v>
      </c>
      <c r="E53" s="199">
        <f>IFERROR(AVERAGEIFS($H$128:$H$170,$G$128:$G$170,1,$E$128:$E$170,"ON",$C$128:$C$170,"&lt;10"),0)</f>
        <v>0</v>
      </c>
      <c r="F53" s="199">
        <f>IFERROR(AVERAGEIFS($H$128:$H$170,$G$128:$G$170,1,$E$128:$E$170,"CNG",$C$128:$C$170,"&lt;10"),0)</f>
        <v>0</v>
      </c>
      <c r="G53" s="199">
        <f>IFERROR(AVERAGEIFS($H$128:$H$170,$G$128:$G$170,1,$E$128:$E$170,"ON",$C$128:$C$170,"&gt;=10",$C$128:$C$170,"&lt;15"),0)</f>
        <v>0</v>
      </c>
      <c r="H53" s="199">
        <f>IFERROR(AVERAGEIFS($H$128:$H$170,$G$128:$G$170,1,$E$128:$E$170,"CNG",$C$128:$C$170,"&gt;=10",$C$128:$C$170,"&lt;15"),0)</f>
        <v>0</v>
      </c>
      <c r="I53" s="199">
        <f>IFERROR(AVERAGEIFS($H$128:$H$170,$G$128:$G$170,1,$E$128:$E$170,"ON",$C$128:$C$170,"&gt;=15"),0)</f>
        <v>0</v>
      </c>
      <c r="J53" s="199">
        <f>IFERROR(AVERAGEIFS($H$128:$H$170,$G$128:$G$170,1,$E$128:$E$170,"CNG",$C$128:$C$170,"&gt;=15"),0)</f>
        <v>0</v>
      </c>
      <c r="K53" s="286"/>
      <c r="L53" s="286"/>
      <c r="M53" s="286"/>
      <c r="N53" s="286"/>
      <c r="O53" s="155"/>
      <c r="P53" s="155"/>
      <c r="Q53" s="155"/>
      <c r="R53" s="155"/>
      <c r="S53" s="155"/>
    </row>
    <row r="54" spans="1:19" ht="24">
      <c r="A54" s="96"/>
      <c r="B54" s="266" t="s">
        <v>432</v>
      </c>
      <c r="C54" s="267" t="s">
        <v>192</v>
      </c>
      <c r="D54" s="283" t="s">
        <v>267</v>
      </c>
      <c r="E54" s="199">
        <f>IFERROR(AVERAGEIFS($H$128:$H$170,$G$128:$G$170,2,$E$128:$E$170,"ON",$C$128:$C$170,"&lt;10"),0)</f>
        <v>0</v>
      </c>
      <c r="F54" s="199">
        <f>IFERROR(AVERAGEIFS($H$128:$H$170,$G$128:$G$170,2,$E$128:$E$170,"CNG",$C$128:$C$170,"&lt;10"),0)</f>
        <v>0</v>
      </c>
      <c r="G54" s="199">
        <f>IFERROR(AVERAGEIFS($H$128:$H$170,$G$128:$G$170,2,$E$128:$E$170,"ON",$C$128:$C$170,"&gt;=10",$C$128:$C$170,"&lt;15"),0)</f>
        <v>0</v>
      </c>
      <c r="H54" s="199">
        <f>IFERROR(AVERAGEIFS($H$128:$H$170,$G$128:$G$170,2,$E$128:$E$170,"CNG",$C$128:$C$170,"&gt;=10",$C$128:$C$170,"&lt;15"),0)</f>
        <v>0</v>
      </c>
      <c r="I54" s="199">
        <f>IFERROR(AVERAGEIFS($H$128:$H$170,$G$128:$G$170,2,$E$128:$E$170,"ON",$C$128:$C$170,"&gt;=15"),0)</f>
        <v>0</v>
      </c>
      <c r="J54" s="199">
        <f>IFERROR(AVERAGEIFS($H$128:$H$170,$G$128:$G$170,2,$E$128:$E$170,"CNG",$C$128:$C$170,"&gt;=15"),0)</f>
        <v>0</v>
      </c>
      <c r="K54" s="286"/>
      <c r="L54" s="286"/>
      <c r="M54" s="286"/>
      <c r="N54" s="286"/>
      <c r="O54" s="155"/>
      <c r="P54" s="155"/>
      <c r="Q54" s="155"/>
      <c r="R54" s="155"/>
      <c r="S54" s="155"/>
    </row>
    <row r="55" spans="1:19" ht="24">
      <c r="A55" s="96"/>
      <c r="B55" s="266" t="s">
        <v>427</v>
      </c>
      <c r="C55" s="267" t="s">
        <v>192</v>
      </c>
      <c r="D55" s="283" t="s">
        <v>267</v>
      </c>
      <c r="E55" s="199">
        <f>IFERROR(AVERAGEIFS($H$128:$H$170,$G$128:$G$170,3,$E$128:$E$170,"ON",$C$128:$C$170,"&lt;10"),0)</f>
        <v>0</v>
      </c>
      <c r="F55" s="199">
        <f>IFERROR(AVERAGEIFS($H$128:$H$170,$G$128:$G$170,3,$E$128:$E$170,"CNG",$C$128:$C$170,"&lt;10"),0)</f>
        <v>0</v>
      </c>
      <c r="G55" s="199">
        <f>IFERROR(AVERAGEIFS($H$128:$H$170,$G$128:$G$170,3,$E$128:$E$170,"ON",$C$128:$C$170,"&gt;=10",$C$128:$C$170,"&lt;15"),0)</f>
        <v>0</v>
      </c>
      <c r="H55" s="199">
        <f>IFERROR(AVERAGEIFS($H$128:$H$170,$G$128:$G$170,3,$E$128:$E$170,"CNG",$C$128:$C$170,"&gt;=10",$C$128:$C$170,"&lt;15"),0)</f>
        <v>0</v>
      </c>
      <c r="I55" s="199">
        <f>IFERROR(AVERAGEIFS($H$128:$H$170,$G$128:$G$170,3,$E$128:$E$170,"ON",$C$128:$C$170,"&gt;=15"),0)</f>
        <v>0</v>
      </c>
      <c r="J55" s="199">
        <f>IFERROR(AVERAGEIFS($H$128:$H$170,$G$128:$G$170,3,$E$128:$E$170,"CNG",$C$128:$C$170,"&gt;=15"),0)</f>
        <v>0</v>
      </c>
      <c r="K55" s="286"/>
      <c r="L55" s="286"/>
      <c r="M55" s="286"/>
      <c r="N55" s="286"/>
      <c r="O55" s="155"/>
      <c r="P55" s="155"/>
      <c r="Q55" s="155"/>
      <c r="R55" s="155"/>
      <c r="S55" s="155"/>
    </row>
    <row r="56" spans="1:19" ht="24">
      <c r="A56" s="96"/>
      <c r="B56" s="266" t="s">
        <v>428</v>
      </c>
      <c r="C56" s="267" t="s">
        <v>192</v>
      </c>
      <c r="D56" s="283" t="s">
        <v>267</v>
      </c>
      <c r="E56" s="199">
        <f>IFERROR(AVERAGEIFS($H$128:$H$170,$G$128:$G$170,4,$E$128:$E$170,"ON",$C$128:$C$170,"&lt;10"),0)</f>
        <v>0</v>
      </c>
      <c r="F56" s="199">
        <f>IFERROR(AVERAGEIFS($H$128:$H$170,$G$128:$G$170,4,$E$128:$E$170,"CNG",$C$128:$C$170,"&lt;10"),0)</f>
        <v>0</v>
      </c>
      <c r="G56" s="199">
        <f>IFERROR(AVERAGEIFS($H$128:$H$170,$G$128:$G$170,4,$E$128:$E$170,"ON",$C$128:$C$170,"&gt;=10",$C$128:$C$170,"&lt;15"),0)</f>
        <v>0</v>
      </c>
      <c r="H56" s="199">
        <f>IFERROR(AVERAGEIFS($H$128:$H$170,$G$128:$G$170,4,$E$128:$E$170,"CNG",$C$128:$C$170,"&gt;=10",$C$128:$C$170,"&lt;15"),0)</f>
        <v>0</v>
      </c>
      <c r="I56" s="199">
        <f>IFERROR(AVERAGEIFS($H$128:$H$170,$G$128:$G$170,4,$E$128:$E$170,"ON",$C$128:$C$170,"&gt;=15"),0)</f>
        <v>0</v>
      </c>
      <c r="J56" s="199">
        <f>IFERROR(AVERAGEIFS($H$128:$H$170,$G$128:$G$170,4,$E$128:$E$170,"CNG",$C$128:$C$170,"&gt;=15"),0)</f>
        <v>0</v>
      </c>
      <c r="K56" s="286"/>
      <c r="L56" s="286"/>
      <c r="M56" s="286"/>
      <c r="N56" s="286"/>
      <c r="O56" s="155"/>
      <c r="P56" s="155"/>
      <c r="Q56" s="155"/>
      <c r="R56" s="155"/>
      <c r="S56" s="155"/>
    </row>
    <row r="57" spans="1:19" ht="24">
      <c r="A57" s="96"/>
      <c r="B57" s="266" t="s">
        <v>429</v>
      </c>
      <c r="C57" s="267" t="s">
        <v>192</v>
      </c>
      <c r="D57" s="283" t="s">
        <v>267</v>
      </c>
      <c r="E57" s="199">
        <f>IFERROR(AVERAGEIFS($H$128:$H$170,$G$128:$G$170,5,$E$128:$E$170,"ON",$C$128:$C$170,"&lt;10"),0)</f>
        <v>0</v>
      </c>
      <c r="F57" s="199">
        <f>IFERROR(AVERAGEIFS($H$128:$H$170,$G$128:$G$170,5,$E$128:$E$170,"CNG",$C$128:$C$170,"&lt;10"),0)</f>
        <v>0</v>
      </c>
      <c r="G57" s="199">
        <f>IFERROR(AVERAGEIFS($H$128:$H$170,$G$128:$G$170,5,$E$128:$E$170,"ON",$C$128:$C$170,"&gt;=10",$C$128:$C$170,"&lt;15"),0)</f>
        <v>0</v>
      </c>
      <c r="H57" s="199">
        <f>IFERROR(AVERAGEIFS($H$128:$H$170,$G$128:$G$170,5,$E$128:$E$170,"CNG",$C$128:$C$170,"&gt;=10",$C$128:$C$170,"&lt;15"),0)</f>
        <v>0</v>
      </c>
      <c r="I57" s="199">
        <f>IFERROR(AVERAGEIFS($H$128:$H$170,$G$128:$G$170,5,$E$128:$E$170,"ON",$C$128:$C$170,"&gt;=15"),0)</f>
        <v>0</v>
      </c>
      <c r="J57" s="199">
        <f>IFERROR(AVERAGEIFS($H$128:$H$170,$G$128:$G$170,5,$E$128:$E$170,"CNG",$C$128:$C$170,"&gt;=15"),0)</f>
        <v>0</v>
      </c>
      <c r="K57" s="286"/>
      <c r="L57" s="286"/>
      <c r="M57" s="286"/>
      <c r="N57" s="286"/>
      <c r="O57" s="155"/>
      <c r="P57" s="155"/>
      <c r="Q57" s="155"/>
      <c r="R57" s="155"/>
      <c r="S57" s="155"/>
    </row>
    <row r="58" spans="1:19" ht="24">
      <c r="A58" s="96"/>
      <c r="B58" s="266" t="s">
        <v>430</v>
      </c>
      <c r="C58" s="267" t="s">
        <v>192</v>
      </c>
      <c r="D58" s="283" t="s">
        <v>267</v>
      </c>
      <c r="E58" s="199">
        <f>IFERROR(AVERAGEIFS($H$128:$H$170,$G$128:$G$170,6,$E$128:$E$170,"ON",$C$128:$C$170,"&lt;10"),0)</f>
        <v>18</v>
      </c>
      <c r="F58" s="199">
        <f>IFERROR(AVERAGEIFS($H$128:$H$170,$G$128:$G$170,6,$E$128:$E$170,"CNG",$C$128:$C$170,"&lt;10"),0)</f>
        <v>0</v>
      </c>
      <c r="G58" s="199">
        <f>IFERROR(AVERAGEIFS($H$128:$H$170,$G$128:$G$170,6,$E$128:$E$170,"ON",$C$128:$C$170,"&gt;=10",$C$128:$C$170,"&lt;15"),0)</f>
        <v>23</v>
      </c>
      <c r="H58" s="199">
        <f>IFERROR(AVERAGEIFS($H$128:$H$170,$G$128:$G$170,6,$E$128:$E$170,"CNG",$C$128:$C$170,"&gt;=10",$C$128:$C$170,"&lt;15"),0)</f>
        <v>0</v>
      </c>
      <c r="I58" s="199">
        <f>I57</f>
        <v>0</v>
      </c>
      <c r="J58" s="199">
        <f>IFERROR(AVERAGEIFS($H$128:$H$170,$G$128:$G$170,6,$E$128:$E$170,"CNG",$C$128:$C$170,"&gt;=15"),0)</f>
        <v>0</v>
      </c>
      <c r="K58" s="286"/>
      <c r="L58" s="286"/>
      <c r="M58" s="286"/>
      <c r="N58" s="286"/>
      <c r="O58" s="155"/>
      <c r="P58" s="155"/>
      <c r="Q58" s="155"/>
      <c r="R58" s="155"/>
      <c r="S58" s="155"/>
    </row>
    <row r="59" spans="1:19">
      <c r="A59" s="96"/>
      <c r="B59" s="266" t="s">
        <v>431</v>
      </c>
      <c r="C59" s="267" t="s">
        <v>192</v>
      </c>
      <c r="D59" s="283" t="s">
        <v>377</v>
      </c>
      <c r="E59" s="500"/>
      <c r="F59" s="199"/>
      <c r="G59" s="199">
        <f>IFERROR(AVERAGEIFS($H$128:$H$170,$G$128:$G$170,6,$E$128:$E$170,"ON Hybryda",$C$128:$C$170,"&gt;=10",$C$128:$C$170,"&lt;15"),0)</f>
        <v>0</v>
      </c>
      <c r="H59" s="199"/>
      <c r="I59" s="199">
        <f>IFERROR(AVERAGEIFS($H$128:$H$170,$G$128:$G$170,6,$E$128:$E$170,"ON Hybryda",$C$128:$C$170,"&gt;=15"),0)</f>
        <v>0</v>
      </c>
      <c r="J59" s="199">
        <f>IFERROR(AVERAGEIFS($H$128:$H$170,$G$128:$G$170,6,$E$128:$E$170,"CNG",$C$128:$C$170,"&gt;=15"),0)</f>
        <v>0</v>
      </c>
      <c r="K59" s="286"/>
      <c r="L59" s="286"/>
      <c r="M59" s="286"/>
      <c r="N59" s="286"/>
      <c r="O59" s="155"/>
      <c r="P59" s="155"/>
      <c r="Q59" s="155"/>
      <c r="R59" s="155"/>
      <c r="S59" s="155"/>
    </row>
    <row r="60" spans="1:19" ht="12.75" thickBot="1">
      <c r="A60" s="96"/>
      <c r="B60" s="266"/>
      <c r="C60" s="416"/>
      <c r="D60" s="417"/>
      <c r="E60" s="373"/>
      <c r="F60" s="374"/>
      <c r="G60" s="286"/>
      <c r="H60" s="286"/>
      <c r="I60" s="286"/>
      <c r="J60" s="286"/>
      <c r="K60" s="286"/>
      <c r="L60" s="286"/>
      <c r="M60" s="286"/>
      <c r="N60" s="286"/>
      <c r="O60" s="155"/>
      <c r="P60" s="155"/>
      <c r="Q60" s="155"/>
      <c r="R60" s="155"/>
      <c r="S60" s="155"/>
    </row>
    <row r="61" spans="1:19">
      <c r="A61" s="96"/>
      <c r="B61" s="556" t="s">
        <v>213</v>
      </c>
      <c r="C61" s="423"/>
      <c r="D61" s="424"/>
      <c r="E61" s="629" t="s">
        <v>349</v>
      </c>
      <c r="F61" s="629"/>
      <c r="G61" s="629"/>
      <c r="H61" s="629" t="s">
        <v>362</v>
      </c>
      <c r="I61" s="629"/>
      <c r="J61" s="630"/>
      <c r="K61" s="614"/>
      <c r="L61" s="614"/>
      <c r="M61" s="614"/>
      <c r="N61" s="286"/>
      <c r="O61" s="155"/>
      <c r="P61" s="155"/>
      <c r="Q61" s="155"/>
      <c r="R61" s="155"/>
      <c r="S61" s="155"/>
    </row>
    <row r="62" spans="1:19">
      <c r="A62" s="96"/>
      <c r="B62" s="436" t="s">
        <v>474</v>
      </c>
      <c r="C62" s="131"/>
      <c r="D62" s="421"/>
      <c r="E62" s="422" t="s">
        <v>185</v>
      </c>
      <c r="F62" s="422" t="s">
        <v>193</v>
      </c>
      <c r="G62" s="422" t="s">
        <v>63</v>
      </c>
      <c r="H62" s="422" t="s">
        <v>185</v>
      </c>
      <c r="I62" s="422" t="s">
        <v>193</v>
      </c>
      <c r="J62" s="425" t="s">
        <v>63</v>
      </c>
      <c r="K62" s="516"/>
      <c r="L62" s="516"/>
      <c r="M62" s="516"/>
      <c r="N62" s="286"/>
      <c r="O62" s="155"/>
      <c r="P62" s="155"/>
      <c r="Q62" s="155"/>
      <c r="R62" s="155"/>
      <c r="S62" s="155"/>
    </row>
    <row r="63" spans="1:19" ht="24">
      <c r="A63" s="96"/>
      <c r="B63" s="268" t="s">
        <v>426</v>
      </c>
      <c r="C63" s="265" t="s">
        <v>140</v>
      </c>
      <c r="D63" s="421" t="s">
        <v>379</v>
      </c>
      <c r="E63" s="199">
        <f>$F$46*E53/100*E38</f>
        <v>0</v>
      </c>
      <c r="F63" s="199">
        <f>$F$46*E53/100*E39</f>
        <v>0</v>
      </c>
      <c r="G63" s="199">
        <f>$F$46*E53/100*E40</f>
        <v>0</v>
      </c>
      <c r="H63" s="199"/>
      <c r="I63" s="199"/>
      <c r="J63" s="376"/>
      <c r="K63" s="517"/>
      <c r="L63" s="517"/>
      <c r="M63" s="517"/>
      <c r="N63" s="286"/>
      <c r="O63" s="155"/>
      <c r="P63" s="155"/>
      <c r="Q63" s="155"/>
      <c r="R63" s="155"/>
      <c r="S63" s="155"/>
    </row>
    <row r="64" spans="1:19" ht="24">
      <c r="A64" s="96"/>
      <c r="B64" s="266" t="s">
        <v>432</v>
      </c>
      <c r="C64" s="265" t="s">
        <v>140</v>
      </c>
      <c r="D64" s="421" t="s">
        <v>379</v>
      </c>
      <c r="E64" s="199">
        <f>$F$46*E54/100*F38</f>
        <v>0</v>
      </c>
      <c r="F64" s="199">
        <f>$F$46*E54/100*F39</f>
        <v>0</v>
      </c>
      <c r="G64" s="199">
        <f>$F$46*E54/100*F40</f>
        <v>0</v>
      </c>
      <c r="H64" s="199"/>
      <c r="I64" s="199"/>
      <c r="J64" s="376"/>
      <c r="K64" s="517"/>
      <c r="L64" s="517"/>
      <c r="M64" s="517"/>
      <c r="N64" s="286"/>
      <c r="O64" s="155"/>
      <c r="P64" s="155"/>
      <c r="Q64" s="155"/>
      <c r="R64" s="155"/>
      <c r="S64" s="155"/>
    </row>
    <row r="65" spans="1:19" ht="24">
      <c r="A65" s="96"/>
      <c r="B65" s="266" t="s">
        <v>427</v>
      </c>
      <c r="C65" s="265" t="s">
        <v>140</v>
      </c>
      <c r="D65" s="421" t="s">
        <v>379</v>
      </c>
      <c r="E65" s="199">
        <f>$F$46*E55/100*G38</f>
        <v>0</v>
      </c>
      <c r="F65" s="199">
        <f>$F$46*E55/100*G39</f>
        <v>0</v>
      </c>
      <c r="G65" s="199">
        <f>$F$46*E55/100*G40</f>
        <v>0</v>
      </c>
      <c r="H65" s="199"/>
      <c r="I65" s="199"/>
      <c r="J65" s="376"/>
      <c r="K65" s="517"/>
      <c r="L65" s="517"/>
      <c r="M65" s="517"/>
      <c r="N65" s="286"/>
      <c r="O65" s="155"/>
      <c r="P65" s="155"/>
      <c r="Q65" s="155"/>
      <c r="R65" s="155"/>
      <c r="S65" s="155"/>
    </row>
    <row r="66" spans="1:19" ht="24">
      <c r="A66" s="96"/>
      <c r="B66" s="266" t="s">
        <v>428</v>
      </c>
      <c r="C66" s="265" t="s">
        <v>140</v>
      </c>
      <c r="D66" s="421" t="s">
        <v>379</v>
      </c>
      <c r="E66" s="199">
        <f>$F$46*E56/100*H38</f>
        <v>0</v>
      </c>
      <c r="F66" s="199">
        <f>$F$46*E56/100*H39</f>
        <v>0</v>
      </c>
      <c r="G66" s="199">
        <f>$F$46*E56/100*H40</f>
        <v>0</v>
      </c>
      <c r="H66" s="199"/>
      <c r="I66" s="199"/>
      <c r="J66" s="376"/>
      <c r="K66" s="517"/>
      <c r="L66" s="517"/>
      <c r="M66" s="517"/>
      <c r="N66" s="286"/>
      <c r="O66" s="155"/>
      <c r="P66" s="155"/>
      <c r="Q66" s="155"/>
      <c r="R66" s="155"/>
      <c r="S66" s="155"/>
    </row>
    <row r="67" spans="1:19" ht="24">
      <c r="A67" s="96"/>
      <c r="B67" s="266" t="s">
        <v>429</v>
      </c>
      <c r="C67" s="265" t="s">
        <v>140</v>
      </c>
      <c r="D67" s="421" t="s">
        <v>379</v>
      </c>
      <c r="E67" s="199">
        <f>$F$46*E57/100*I38</f>
        <v>0</v>
      </c>
      <c r="F67" s="199">
        <f>$F$46*E57/100*I39</f>
        <v>0</v>
      </c>
      <c r="G67" s="199">
        <f>$F$46*E57/100*I40</f>
        <v>0</v>
      </c>
      <c r="H67" s="199"/>
      <c r="I67" s="199"/>
      <c r="J67" s="376"/>
      <c r="K67" s="517"/>
      <c r="L67" s="517"/>
      <c r="M67" s="517"/>
      <c r="N67" s="286"/>
      <c r="O67" s="155"/>
      <c r="P67" s="155"/>
      <c r="Q67" s="155"/>
      <c r="R67" s="155"/>
      <c r="S67" s="155"/>
    </row>
    <row r="68" spans="1:19" ht="24">
      <c r="A68" s="96"/>
      <c r="B68" s="266" t="s">
        <v>430</v>
      </c>
      <c r="C68" s="265" t="s">
        <v>140</v>
      </c>
      <c r="D68" s="421" t="s">
        <v>379</v>
      </c>
      <c r="E68" s="199">
        <f>$F$46*E58/100*J38</f>
        <v>0.23400000000000001</v>
      </c>
      <c r="F68" s="199">
        <f>$F$46*E58/100*J39</f>
        <v>0.72000000000000008</v>
      </c>
      <c r="G68" s="199">
        <f>$F$46*E58/100*J40</f>
        <v>1.8000000000000002E-2</v>
      </c>
      <c r="H68" s="199">
        <f>$F$46*$E$59/100*J38</f>
        <v>0</v>
      </c>
      <c r="I68" s="199">
        <f>$F$46*$E$59/100*J39</f>
        <v>0</v>
      </c>
      <c r="J68" s="376">
        <f>$F$46*$E$59/100*J40</f>
        <v>0</v>
      </c>
      <c r="K68" s="517"/>
      <c r="L68" s="517"/>
      <c r="M68" s="517"/>
      <c r="N68" s="286"/>
      <c r="O68" s="155"/>
      <c r="P68" s="155"/>
      <c r="Q68" s="155"/>
      <c r="R68" s="155"/>
      <c r="S68" s="155"/>
    </row>
    <row r="69" spans="1:19">
      <c r="A69" s="96"/>
      <c r="B69" s="266"/>
      <c r="C69" s="419"/>
      <c r="D69" s="420"/>
      <c r="E69" s="177"/>
      <c r="F69" s="177"/>
      <c r="G69" s="286"/>
      <c r="H69" s="286"/>
      <c r="I69" s="286"/>
      <c r="J69" s="438"/>
      <c r="K69" s="286"/>
      <c r="L69" s="286"/>
      <c r="M69" s="286"/>
      <c r="N69" s="286"/>
      <c r="O69" s="155"/>
      <c r="P69" s="155"/>
      <c r="Q69" s="155"/>
      <c r="R69" s="155"/>
      <c r="S69" s="155"/>
    </row>
    <row r="70" spans="1:19">
      <c r="A70" s="96"/>
      <c r="B70" s="426"/>
      <c r="C70" s="148"/>
      <c r="D70" s="421"/>
      <c r="E70" s="422" t="s">
        <v>185</v>
      </c>
      <c r="F70" s="422" t="s">
        <v>193</v>
      </c>
      <c r="G70" s="422" t="s">
        <v>63</v>
      </c>
      <c r="H70" s="422" t="s">
        <v>185</v>
      </c>
      <c r="I70" s="422" t="s">
        <v>193</v>
      </c>
      <c r="J70" s="425" t="s">
        <v>63</v>
      </c>
      <c r="K70" s="516"/>
      <c r="L70" s="516"/>
      <c r="M70" s="516"/>
      <c r="N70" s="286"/>
      <c r="O70" s="155"/>
      <c r="P70" s="155"/>
      <c r="Q70" s="155"/>
      <c r="R70" s="155"/>
      <c r="S70" s="155"/>
    </row>
    <row r="71" spans="1:19">
      <c r="A71" s="96"/>
      <c r="B71" s="436" t="s">
        <v>475</v>
      </c>
      <c r="C71" s="131"/>
      <c r="D71" s="421"/>
      <c r="E71" s="217"/>
      <c r="F71" s="159"/>
      <c r="G71" s="217"/>
      <c r="H71" s="217"/>
      <c r="I71" s="159"/>
      <c r="J71" s="375"/>
      <c r="K71" s="518"/>
      <c r="L71" s="519"/>
      <c r="M71" s="518"/>
      <c r="N71" s="286"/>
      <c r="O71" s="155"/>
      <c r="P71" s="155"/>
      <c r="Q71" s="155"/>
      <c r="R71" s="155"/>
      <c r="S71" s="155"/>
    </row>
    <row r="72" spans="1:19" ht="24">
      <c r="A72" s="96"/>
      <c r="B72" s="268" t="s">
        <v>426</v>
      </c>
      <c r="C72" s="265" t="s">
        <v>140</v>
      </c>
      <c r="D72" s="421" t="s">
        <v>379</v>
      </c>
      <c r="E72" s="199">
        <f>$F$46*G53/100*E38</f>
        <v>0</v>
      </c>
      <c r="F72" s="199">
        <f>$F$46*G53/100*E39</f>
        <v>0</v>
      </c>
      <c r="G72" s="199">
        <f>$F$46*G53/100*E40</f>
        <v>0</v>
      </c>
      <c r="H72" s="199"/>
      <c r="I72" s="199"/>
      <c r="J72" s="376"/>
      <c r="K72" s="517"/>
      <c r="L72" s="517"/>
      <c r="M72" s="517"/>
      <c r="N72" s="286"/>
      <c r="O72" s="155"/>
      <c r="P72" s="155"/>
      <c r="Q72" s="155"/>
      <c r="R72" s="155"/>
      <c r="S72" s="155"/>
    </row>
    <row r="73" spans="1:19" ht="24">
      <c r="A73" s="96"/>
      <c r="B73" s="266" t="s">
        <v>432</v>
      </c>
      <c r="C73" s="265" t="s">
        <v>140</v>
      </c>
      <c r="D73" s="421" t="s">
        <v>379</v>
      </c>
      <c r="E73" s="199">
        <f>$F$46*G54/100*F38</f>
        <v>0</v>
      </c>
      <c r="F73" s="199">
        <f>$F$46*G54/100*F39</f>
        <v>0</v>
      </c>
      <c r="G73" s="199">
        <f>$F$46*G54/100*F40</f>
        <v>0</v>
      </c>
      <c r="H73" s="199"/>
      <c r="I73" s="199"/>
      <c r="J73" s="376"/>
      <c r="K73" s="517"/>
      <c r="L73" s="517"/>
      <c r="M73" s="517"/>
      <c r="N73" s="286"/>
      <c r="O73" s="155"/>
      <c r="P73" s="155"/>
      <c r="Q73" s="155"/>
      <c r="R73" s="155"/>
      <c r="S73" s="155"/>
    </row>
    <row r="74" spans="1:19" ht="24">
      <c r="A74" s="96"/>
      <c r="B74" s="266" t="s">
        <v>427</v>
      </c>
      <c r="C74" s="265" t="s">
        <v>140</v>
      </c>
      <c r="D74" s="421" t="s">
        <v>379</v>
      </c>
      <c r="E74" s="199">
        <f>$F$46*G55/100*G38</f>
        <v>0</v>
      </c>
      <c r="F74" s="199">
        <f>$F$46*G55/100*G39</f>
        <v>0</v>
      </c>
      <c r="G74" s="199">
        <f>$F$46*G55/100*G40</f>
        <v>0</v>
      </c>
      <c r="H74" s="199"/>
      <c r="I74" s="199"/>
      <c r="J74" s="376"/>
      <c r="K74" s="517"/>
      <c r="L74" s="517"/>
      <c r="M74" s="517"/>
      <c r="N74" s="286"/>
      <c r="O74" s="155"/>
      <c r="P74" s="155"/>
      <c r="Q74" s="155"/>
      <c r="R74" s="155"/>
      <c r="S74" s="155"/>
    </row>
    <row r="75" spans="1:19" ht="24">
      <c r="A75" s="96"/>
      <c r="B75" s="266" t="s">
        <v>428</v>
      </c>
      <c r="C75" s="265" t="s">
        <v>140</v>
      </c>
      <c r="D75" s="421" t="s">
        <v>379</v>
      </c>
      <c r="E75" s="199">
        <f>$F$46*G56/100*H39</f>
        <v>0</v>
      </c>
      <c r="F75" s="199">
        <f>$F$46*G56/100*H40</f>
        <v>0</v>
      </c>
      <c r="G75" s="199">
        <f>$F$46*G56/100*H40</f>
        <v>0</v>
      </c>
      <c r="H75" s="199"/>
      <c r="I75" s="199"/>
      <c r="J75" s="376"/>
      <c r="K75" s="517"/>
      <c r="L75" s="517"/>
      <c r="M75" s="517"/>
      <c r="N75" s="286"/>
      <c r="O75" s="155"/>
      <c r="P75" s="155"/>
      <c r="Q75" s="155"/>
      <c r="R75" s="155"/>
      <c r="S75" s="155"/>
    </row>
    <row r="76" spans="1:19" ht="24">
      <c r="A76" s="96"/>
      <c r="B76" s="266" t="s">
        <v>429</v>
      </c>
      <c r="C76" s="265" t="s">
        <v>140</v>
      </c>
      <c r="D76" s="421" t="s">
        <v>379</v>
      </c>
      <c r="E76" s="199">
        <f>$F$46*G57/100*I38</f>
        <v>0</v>
      </c>
      <c r="F76" s="199">
        <f>$F$46*G57/100*I39</f>
        <v>0</v>
      </c>
      <c r="G76" s="199">
        <f>$F$46*G57/100*I40</f>
        <v>0</v>
      </c>
      <c r="H76" s="199"/>
      <c r="I76" s="199"/>
      <c r="J76" s="376"/>
      <c r="K76" s="517"/>
      <c r="L76" s="517"/>
      <c r="M76" s="517"/>
      <c r="N76" s="286"/>
      <c r="O76" s="155"/>
      <c r="P76" s="155"/>
      <c r="Q76" s="155"/>
      <c r="R76" s="155"/>
      <c r="S76" s="155"/>
    </row>
    <row r="77" spans="1:19" ht="24">
      <c r="A77" s="96"/>
      <c r="B77" s="266" t="s">
        <v>430</v>
      </c>
      <c r="C77" s="265" t="s">
        <v>140</v>
      </c>
      <c r="D77" s="421" t="s">
        <v>379</v>
      </c>
      <c r="E77" s="199">
        <f>$F$46*G58/100*J38</f>
        <v>0.29899999999999999</v>
      </c>
      <c r="F77" s="199">
        <f>$F$46*G58/100*J39</f>
        <v>0.91999999999999993</v>
      </c>
      <c r="G77" s="199">
        <f>$F$46*G58/100*J40</f>
        <v>2.3E-2</v>
      </c>
      <c r="H77" s="199">
        <f>$F$46*$G$59/100*J38</f>
        <v>0</v>
      </c>
      <c r="I77" s="199">
        <f>$F$46*$G$59/100*J39</f>
        <v>0</v>
      </c>
      <c r="J77" s="376">
        <f>$F$46*$G$59/100*J40</f>
        <v>0</v>
      </c>
      <c r="K77" s="517"/>
      <c r="L77" s="517"/>
      <c r="M77" s="517"/>
      <c r="N77" s="286"/>
      <c r="O77" s="155"/>
      <c r="P77" s="155"/>
      <c r="Q77" s="155"/>
      <c r="R77" s="155"/>
      <c r="S77" s="155"/>
    </row>
    <row r="78" spans="1:19">
      <c r="A78" s="96"/>
      <c r="B78" s="437"/>
      <c r="C78" s="419"/>
      <c r="D78" s="420"/>
      <c r="E78" s="177"/>
      <c r="F78" s="177"/>
      <c r="G78" s="286"/>
      <c r="H78" s="286"/>
      <c r="I78" s="286"/>
      <c r="J78" s="438"/>
      <c r="K78" s="286"/>
      <c r="L78" s="286"/>
      <c r="M78" s="286"/>
      <c r="N78" s="286"/>
      <c r="O78" s="155"/>
      <c r="P78" s="155"/>
      <c r="Q78" s="155"/>
      <c r="R78" s="155"/>
      <c r="S78" s="155"/>
    </row>
    <row r="79" spans="1:19">
      <c r="A79" s="96"/>
      <c r="B79" s="436" t="s">
        <v>469</v>
      </c>
      <c r="C79" s="131"/>
      <c r="D79" s="421"/>
      <c r="E79" s="217"/>
      <c r="F79" s="159"/>
      <c r="G79" s="217"/>
      <c r="H79" s="217"/>
      <c r="I79" s="159"/>
      <c r="J79" s="375"/>
      <c r="K79" s="518"/>
      <c r="L79" s="519"/>
      <c r="M79" s="518"/>
      <c r="N79" s="286"/>
      <c r="O79" s="155"/>
      <c r="P79" s="155"/>
      <c r="Q79" s="155"/>
      <c r="R79" s="155"/>
      <c r="S79" s="155"/>
    </row>
    <row r="80" spans="1:19" ht="24">
      <c r="A80" s="96"/>
      <c r="B80" s="268" t="s">
        <v>426</v>
      </c>
      <c r="C80" s="265" t="s">
        <v>140</v>
      </c>
      <c r="D80" s="421" t="s">
        <v>379</v>
      </c>
      <c r="E80" s="199">
        <f>$F$46*I53/100*E38</f>
        <v>0</v>
      </c>
      <c r="F80" s="199">
        <f>$F$46*I53/100*E39</f>
        <v>0</v>
      </c>
      <c r="G80" s="199">
        <f>$F$46*I53/100*E40</f>
        <v>0</v>
      </c>
      <c r="H80" s="199"/>
      <c r="I80" s="199"/>
      <c r="J80" s="376"/>
      <c r="K80" s="517"/>
      <c r="L80" s="517"/>
      <c r="M80" s="517"/>
      <c r="N80" s="286"/>
      <c r="O80" s="155"/>
      <c r="P80" s="155"/>
      <c r="Q80" s="155"/>
      <c r="R80" s="155"/>
      <c r="S80" s="155"/>
    </row>
    <row r="81" spans="1:21" ht="24">
      <c r="A81" s="96"/>
      <c r="B81" s="266" t="s">
        <v>432</v>
      </c>
      <c r="C81" s="265" t="s">
        <v>140</v>
      </c>
      <c r="D81" s="421" t="s">
        <v>379</v>
      </c>
      <c r="E81" s="199">
        <f>$F$46*I54/100*F38</f>
        <v>0</v>
      </c>
      <c r="F81" s="199">
        <f>$F$46*I54/100*F39</f>
        <v>0</v>
      </c>
      <c r="G81" s="199">
        <f>$F$46*I54/100*F40</f>
        <v>0</v>
      </c>
      <c r="H81" s="199"/>
      <c r="I81" s="199"/>
      <c r="J81" s="376"/>
      <c r="K81" s="517"/>
      <c r="L81" s="517"/>
      <c r="M81" s="517"/>
      <c r="N81" s="286"/>
      <c r="O81" s="155"/>
      <c r="P81" s="155"/>
      <c r="Q81" s="155"/>
      <c r="R81" s="155"/>
      <c r="S81" s="155"/>
    </row>
    <row r="82" spans="1:21" ht="24">
      <c r="A82" s="96"/>
      <c r="B82" s="266" t="s">
        <v>427</v>
      </c>
      <c r="C82" s="265" t="s">
        <v>140</v>
      </c>
      <c r="D82" s="421" t="s">
        <v>379</v>
      </c>
      <c r="E82" s="199">
        <f>$F$46*I55/100*G38</f>
        <v>0</v>
      </c>
      <c r="F82" s="199">
        <f>$F$46*I55/100*G39</f>
        <v>0</v>
      </c>
      <c r="G82" s="199">
        <f>$F$46*I55/100*G40</f>
        <v>0</v>
      </c>
      <c r="H82" s="199"/>
      <c r="I82" s="199"/>
      <c r="J82" s="376"/>
      <c r="K82" s="517"/>
      <c r="L82" s="517"/>
      <c r="M82" s="517"/>
      <c r="N82" s="286"/>
      <c r="O82" s="155"/>
      <c r="P82" s="155"/>
      <c r="Q82" s="155"/>
      <c r="R82" s="155"/>
      <c r="S82" s="155"/>
    </row>
    <row r="83" spans="1:21" ht="24">
      <c r="A83" s="96"/>
      <c r="B83" s="266" t="s">
        <v>428</v>
      </c>
      <c r="C83" s="265" t="s">
        <v>140</v>
      </c>
      <c r="D83" s="421" t="s">
        <v>379</v>
      </c>
      <c r="E83" s="199">
        <f>$F$46*I56/100*H38</f>
        <v>0</v>
      </c>
      <c r="F83" s="199">
        <f>$F$46*I56/100*H39</f>
        <v>0</v>
      </c>
      <c r="G83" s="199">
        <f>$F$46*I56/100*H40</f>
        <v>0</v>
      </c>
      <c r="H83" s="199"/>
      <c r="I83" s="199"/>
      <c r="J83" s="376"/>
      <c r="K83" s="517"/>
      <c r="L83" s="517"/>
      <c r="M83" s="517"/>
      <c r="N83" s="286"/>
      <c r="O83" s="155"/>
      <c r="P83" s="155"/>
      <c r="Q83" s="155"/>
      <c r="R83" s="155"/>
      <c r="S83" s="155"/>
    </row>
    <row r="84" spans="1:21" ht="24">
      <c r="A84" s="96"/>
      <c r="B84" s="266" t="s">
        <v>429</v>
      </c>
      <c r="C84" s="265" t="s">
        <v>140</v>
      </c>
      <c r="D84" s="421" t="s">
        <v>379</v>
      </c>
      <c r="E84" s="199">
        <f>$F$46*I57/100*I38</f>
        <v>0</v>
      </c>
      <c r="F84" s="199">
        <f>$F$46*I57/100*I39</f>
        <v>0</v>
      </c>
      <c r="G84" s="199">
        <f>$F$46*I57/100*I40</f>
        <v>0</v>
      </c>
      <c r="H84" s="199"/>
      <c r="I84" s="199"/>
      <c r="J84" s="376"/>
      <c r="K84" s="517"/>
      <c r="L84" s="517"/>
      <c r="M84" s="517"/>
      <c r="N84" s="286"/>
      <c r="O84" s="155"/>
      <c r="P84" s="155"/>
      <c r="Q84" s="155"/>
      <c r="R84" s="155"/>
      <c r="S84" s="155"/>
    </row>
    <row r="85" spans="1:21" ht="24.75" thickBot="1">
      <c r="A85" s="96"/>
      <c r="B85" s="266" t="s">
        <v>430</v>
      </c>
      <c r="C85" s="427" t="s">
        <v>140</v>
      </c>
      <c r="D85" s="428" t="s">
        <v>379</v>
      </c>
      <c r="E85" s="377">
        <f>$F$46*I58/100*J38</f>
        <v>0</v>
      </c>
      <c r="F85" s="377">
        <f>$F$46*I58/100*J39</f>
        <v>0</v>
      </c>
      <c r="G85" s="377">
        <f>$F$46*I58/100*J40</f>
        <v>0</v>
      </c>
      <c r="H85" s="377">
        <f>$F$46*$I$59/100*J38</f>
        <v>0</v>
      </c>
      <c r="I85" s="377">
        <f>$F$46*$I$59/100*J39</f>
        <v>0</v>
      </c>
      <c r="J85" s="378">
        <f>$F$46*$I$59/100*J40</f>
        <v>0</v>
      </c>
      <c r="K85" s="517"/>
      <c r="L85" s="517"/>
      <c r="M85" s="517"/>
      <c r="N85" s="286"/>
      <c r="O85" s="155"/>
      <c r="P85" s="155"/>
      <c r="Q85" s="155"/>
      <c r="R85" s="155"/>
      <c r="S85" s="155"/>
    </row>
    <row r="86" spans="1:21">
      <c r="A86" s="96"/>
      <c r="B86" s="418"/>
      <c r="C86" s="419"/>
      <c r="D86" s="420"/>
      <c r="E86" s="177"/>
      <c r="F86" s="177"/>
      <c r="G86" s="286"/>
      <c r="H86" s="286"/>
      <c r="I86" s="286"/>
      <c r="J86" s="286"/>
      <c r="K86" s="286"/>
      <c r="L86" s="286"/>
      <c r="M86" s="286"/>
      <c r="N86" s="286"/>
      <c r="O86" s="155"/>
      <c r="P86" s="155"/>
      <c r="Q86" s="155"/>
      <c r="R86" s="155"/>
      <c r="S86" s="155"/>
    </row>
    <row r="87" spans="1:21">
      <c r="A87" s="96"/>
      <c r="B87" s="130"/>
      <c r="C87" s="144"/>
      <c r="D87" s="283"/>
      <c r="E87" s="177"/>
      <c r="F87" s="177"/>
      <c r="G87" s="286"/>
      <c r="H87" s="286"/>
      <c r="I87" s="286"/>
      <c r="J87" s="286"/>
      <c r="K87" s="286"/>
      <c r="L87" s="286"/>
      <c r="M87" s="286"/>
      <c r="N87" s="286"/>
      <c r="O87" s="155"/>
      <c r="P87" s="155"/>
      <c r="Q87" s="155"/>
      <c r="R87" s="155"/>
      <c r="S87" s="155"/>
    </row>
    <row r="88" spans="1:21">
      <c r="A88" s="96"/>
      <c r="B88" s="130"/>
      <c r="C88" s="144"/>
      <c r="D88" s="283"/>
      <c r="E88" s="169"/>
      <c r="F88" s="170"/>
      <c r="G88" s="286"/>
      <c r="H88" s="286"/>
      <c r="I88" s="286"/>
      <c r="J88" s="286"/>
      <c r="K88" s="286"/>
      <c r="L88" s="286"/>
      <c r="M88" s="286"/>
      <c r="N88" s="286"/>
      <c r="O88" s="155"/>
      <c r="P88" s="155"/>
      <c r="Q88" s="155"/>
      <c r="R88" s="155"/>
      <c r="S88" s="155"/>
    </row>
    <row r="89" spans="1:21">
      <c r="A89" s="96"/>
      <c r="B89" s="268" t="s">
        <v>268</v>
      </c>
      <c r="C89" s="144"/>
      <c r="D89" s="283" t="s">
        <v>231</v>
      </c>
      <c r="E89" s="154">
        <f t="shared" ref="E89:U89" si="12">E23</f>
        <v>2021</v>
      </c>
      <c r="F89" s="154">
        <f t="shared" si="12"/>
        <v>2022</v>
      </c>
      <c r="G89" s="154">
        <f t="shared" si="12"/>
        <v>2023</v>
      </c>
      <c r="H89" s="154">
        <f t="shared" si="12"/>
        <v>2024</v>
      </c>
      <c r="I89" s="154">
        <f t="shared" si="12"/>
        <v>2025</v>
      </c>
      <c r="J89" s="154">
        <f t="shared" si="12"/>
        <v>2026</v>
      </c>
      <c r="K89" s="154">
        <f t="shared" si="12"/>
        <v>2027</v>
      </c>
      <c r="L89" s="154">
        <f t="shared" si="12"/>
        <v>2028</v>
      </c>
      <c r="M89" s="154">
        <f t="shared" si="12"/>
        <v>2029</v>
      </c>
      <c r="N89" s="154">
        <f t="shared" si="12"/>
        <v>2030</v>
      </c>
      <c r="O89" s="154">
        <f t="shared" si="12"/>
        <v>2031</v>
      </c>
      <c r="P89" s="154">
        <f t="shared" si="12"/>
        <v>2032</v>
      </c>
      <c r="Q89" s="154">
        <f t="shared" si="12"/>
        <v>2033</v>
      </c>
      <c r="R89" s="154">
        <f t="shared" si="12"/>
        <v>2034</v>
      </c>
      <c r="S89" s="154">
        <f t="shared" si="12"/>
        <v>2035</v>
      </c>
      <c r="T89" s="154">
        <f t="shared" si="12"/>
        <v>2036</v>
      </c>
      <c r="U89" s="154">
        <f t="shared" si="12"/>
        <v>2037</v>
      </c>
    </row>
    <row r="90" spans="1:21" ht="26.45" customHeight="1">
      <c r="A90" s="96"/>
      <c r="B90" s="130" t="s">
        <v>123</v>
      </c>
      <c r="C90" s="144" t="s">
        <v>194</v>
      </c>
      <c r="D90" s="611" t="s">
        <v>411</v>
      </c>
      <c r="E90" s="504">
        <v>5.0399999999999993E-3</v>
      </c>
      <c r="F90" s="201">
        <f>E90-($E90-$I90)/4</f>
        <v>4.9998938992042432E-3</v>
      </c>
      <c r="G90" s="201">
        <f t="shared" ref="G90:H90" si="13">F90-($E90-$I90)/4</f>
        <v>4.9597877984084871E-3</v>
      </c>
      <c r="H90" s="201">
        <f t="shared" si="13"/>
        <v>4.919681697612731E-3</v>
      </c>
      <c r="I90" s="503">
        <v>4.8795755968169758E-3</v>
      </c>
      <c r="J90" s="201">
        <f>I90-($I90-$N90)/5</f>
        <v>4.8047108753315644E-3</v>
      </c>
      <c r="K90" s="201">
        <f t="shared" ref="K90:M90" si="14">J90-($I90-$N90)/5</f>
        <v>4.7298461538461531E-3</v>
      </c>
      <c r="L90" s="201">
        <f t="shared" si="14"/>
        <v>4.6549814323607417E-3</v>
      </c>
      <c r="M90" s="201">
        <f t="shared" si="14"/>
        <v>4.5801167108753304E-3</v>
      </c>
      <c r="N90" s="503">
        <v>4.5052519893899199E-3</v>
      </c>
      <c r="O90" s="201">
        <f>N90-($N90-$S90)/5</f>
        <v>4.2833315649867367E-3</v>
      </c>
      <c r="P90" s="201">
        <f t="shared" ref="P90:R90" si="15">O90-($N90-$S90)/5</f>
        <v>4.0614111405835535E-3</v>
      </c>
      <c r="Q90" s="201">
        <f t="shared" si="15"/>
        <v>3.8394907161803703E-3</v>
      </c>
      <c r="R90" s="201">
        <f t="shared" si="15"/>
        <v>3.6175702917771871E-3</v>
      </c>
      <c r="S90" s="503">
        <v>3.3956498673740048E-3</v>
      </c>
      <c r="T90" s="502">
        <f>S90-(S90-U90)/2</f>
        <v>3.1215915119363392E-3</v>
      </c>
      <c r="U90" s="503">
        <v>2.8475331564986736E-3</v>
      </c>
    </row>
    <row r="91" spans="1:21" ht="24.6" customHeight="1">
      <c r="A91" s="96"/>
      <c r="B91" s="130" t="s">
        <v>166</v>
      </c>
      <c r="C91" s="144" t="s">
        <v>194</v>
      </c>
      <c r="D91" s="612"/>
      <c r="E91" s="504">
        <v>2.6272799999999998</v>
      </c>
      <c r="F91" s="201">
        <f t="shared" ref="F91:H91" si="16">E91-($E91-$I91)/4</f>
        <v>2.5174444332430217</v>
      </c>
      <c r="G91" s="201">
        <f t="shared" si="16"/>
        <v>2.4076088664860436</v>
      </c>
      <c r="H91" s="201">
        <f t="shared" si="16"/>
        <v>2.2977732997290654</v>
      </c>
      <c r="I91" s="503">
        <v>2.1879377329720868</v>
      </c>
      <c r="J91" s="201">
        <f t="shared" ref="J91:M93" si="17">I91-($I91-$N91)/5</f>
        <v>2.1549953399281705</v>
      </c>
      <c r="K91" s="201">
        <f t="shared" si="17"/>
        <v>2.1220529468842542</v>
      </c>
      <c r="L91" s="201">
        <f t="shared" si="17"/>
        <v>2.0891105538403378</v>
      </c>
      <c r="M91" s="201">
        <f t="shared" si="17"/>
        <v>2.0561681607964215</v>
      </c>
      <c r="N91" s="503">
        <v>2.0232257677525043</v>
      </c>
      <c r="O91" s="201">
        <f t="shared" ref="O91:R93" si="18">N91-($N91-$S91)/5</f>
        <v>1.9229418395816267</v>
      </c>
      <c r="P91" s="201">
        <f t="shared" si="18"/>
        <v>1.8226579114107491</v>
      </c>
      <c r="Q91" s="201">
        <f t="shared" si="18"/>
        <v>1.7223739832398715</v>
      </c>
      <c r="R91" s="201">
        <f t="shared" si="18"/>
        <v>1.6220900550689938</v>
      </c>
      <c r="S91" s="503">
        <v>1.521806126898116</v>
      </c>
      <c r="T91" s="502">
        <f t="shared" ref="T91:T93" si="19">S91-(S91-U91)/2</f>
        <v>1.4012104820112152</v>
      </c>
      <c r="U91" s="503">
        <v>1.2806148371243147</v>
      </c>
    </row>
    <row r="92" spans="1:21">
      <c r="A92" s="96"/>
      <c r="B92" s="130" t="s">
        <v>62</v>
      </c>
      <c r="C92" s="144" t="s">
        <v>194</v>
      </c>
      <c r="D92" s="612"/>
      <c r="E92" s="504">
        <v>1.0908</v>
      </c>
      <c r="F92" s="201">
        <f t="shared" ref="F92:H92" si="20">E92-($E92-$I92)/4</f>
        <v>1.0451642697073558</v>
      </c>
      <c r="G92" s="201">
        <f t="shared" si="20"/>
        <v>0.99952853941471143</v>
      </c>
      <c r="H92" s="201">
        <f t="shared" si="20"/>
        <v>0.95389280912206709</v>
      </c>
      <c r="I92" s="503">
        <v>0.90825707882942264</v>
      </c>
      <c r="J92" s="201">
        <f t="shared" si="17"/>
        <v>0.89459691537041919</v>
      </c>
      <c r="K92" s="201">
        <f t="shared" si="17"/>
        <v>0.88093675191141574</v>
      </c>
      <c r="L92" s="201">
        <f t="shared" si="17"/>
        <v>0.86727658845241229</v>
      </c>
      <c r="M92" s="201">
        <f t="shared" si="17"/>
        <v>0.85361642499340884</v>
      </c>
      <c r="N92" s="503">
        <v>0.8399562615344055</v>
      </c>
      <c r="O92" s="201">
        <f t="shared" si="18"/>
        <v>0.79832871078302137</v>
      </c>
      <c r="P92" s="201">
        <f t="shared" si="18"/>
        <v>0.75670116003163723</v>
      </c>
      <c r="Q92" s="201">
        <f t="shared" si="18"/>
        <v>0.7150736092802531</v>
      </c>
      <c r="R92" s="201">
        <f t="shared" si="18"/>
        <v>0.67344605852886896</v>
      </c>
      <c r="S92" s="503">
        <v>0.63181850777748472</v>
      </c>
      <c r="T92" s="502">
        <f t="shared" si="19"/>
        <v>0.58170727656208798</v>
      </c>
      <c r="U92" s="503">
        <v>0.53159604534669125</v>
      </c>
    </row>
    <row r="93" spans="1:21">
      <c r="A93" s="96"/>
      <c r="B93" s="130" t="s">
        <v>63</v>
      </c>
      <c r="C93" s="144" t="s">
        <v>194</v>
      </c>
      <c r="D93" s="613"/>
      <c r="E93" s="504">
        <v>2.988E-2</v>
      </c>
      <c r="F93" s="201">
        <f t="shared" ref="F93:H93" si="21">E93-($E93-$I93)/4</f>
        <v>2.8630010020040082E-2</v>
      </c>
      <c r="G93" s="201">
        <f t="shared" si="21"/>
        <v>2.7380020040080163E-2</v>
      </c>
      <c r="H93" s="201">
        <f t="shared" si="21"/>
        <v>2.6130030060120244E-2</v>
      </c>
      <c r="I93" s="503">
        <v>2.4880040080160322E-2</v>
      </c>
      <c r="J93" s="201">
        <f t="shared" si="17"/>
        <v>2.4508785571142284E-2</v>
      </c>
      <c r="K93" s="201">
        <f t="shared" si="17"/>
        <v>2.4137531062124247E-2</v>
      </c>
      <c r="L93" s="201">
        <f t="shared" si="17"/>
        <v>2.376627655310621E-2</v>
      </c>
      <c r="M93" s="201">
        <f t="shared" si="17"/>
        <v>2.3395022044088172E-2</v>
      </c>
      <c r="N93" s="503">
        <v>2.3023767535070142E-2</v>
      </c>
      <c r="O93" s="201">
        <f t="shared" si="18"/>
        <v>2.1880064128256514E-2</v>
      </c>
      <c r="P93" s="201">
        <f t="shared" si="18"/>
        <v>2.0736360721442887E-2</v>
      </c>
      <c r="Q93" s="201">
        <f t="shared" si="18"/>
        <v>1.959265731462926E-2</v>
      </c>
      <c r="R93" s="201">
        <f t="shared" si="18"/>
        <v>1.8448953907815632E-2</v>
      </c>
      <c r="S93" s="503">
        <v>1.7305250501002005E-2</v>
      </c>
      <c r="T93" s="502">
        <f t="shared" si="19"/>
        <v>1.5942985971943886E-2</v>
      </c>
      <c r="U93" s="503">
        <v>1.4580721442885771E-2</v>
      </c>
    </row>
    <row r="94" spans="1:21">
      <c r="A94" s="96"/>
      <c r="B94" s="131"/>
      <c r="C94" s="142"/>
      <c r="D94" s="283"/>
      <c r="E94" s="161"/>
      <c r="F94" s="281" t="s">
        <v>295</v>
      </c>
      <c r="G94" s="155"/>
      <c r="I94" s="155"/>
      <c r="J94" s="155"/>
      <c r="K94" s="155"/>
      <c r="L94" s="155"/>
      <c r="M94" s="155"/>
      <c r="N94" s="155"/>
      <c r="O94" s="155"/>
      <c r="P94" s="155"/>
      <c r="Q94" s="155"/>
      <c r="R94" s="155"/>
      <c r="S94" s="155"/>
    </row>
    <row r="95" spans="1:21">
      <c r="A95" s="96"/>
      <c r="B95" s="131" t="s">
        <v>380</v>
      </c>
      <c r="C95" s="142"/>
      <c r="D95" s="283"/>
      <c r="E95" s="154">
        <f>E23</f>
        <v>2021</v>
      </c>
      <c r="F95" s="154">
        <f t="shared" ref="F95:U95" si="22">F14</f>
        <v>2022</v>
      </c>
      <c r="G95" s="154">
        <f t="shared" si="22"/>
        <v>2023</v>
      </c>
      <c r="H95" s="153">
        <f t="shared" si="22"/>
        <v>2024</v>
      </c>
      <c r="I95" s="154">
        <f t="shared" si="22"/>
        <v>2025</v>
      </c>
      <c r="J95" s="154">
        <f t="shared" si="22"/>
        <v>2026</v>
      </c>
      <c r="K95" s="154">
        <f t="shared" si="22"/>
        <v>2027</v>
      </c>
      <c r="L95" s="154">
        <f t="shared" si="22"/>
        <v>2028</v>
      </c>
      <c r="M95" s="154">
        <f t="shared" si="22"/>
        <v>2029</v>
      </c>
      <c r="N95" s="154">
        <f t="shared" si="22"/>
        <v>2030</v>
      </c>
      <c r="O95" s="154">
        <f t="shared" si="22"/>
        <v>2031</v>
      </c>
      <c r="P95" s="154">
        <f t="shared" si="22"/>
        <v>2032</v>
      </c>
      <c r="Q95" s="154">
        <f t="shared" si="22"/>
        <v>2033</v>
      </c>
      <c r="R95" s="154">
        <f t="shared" si="22"/>
        <v>2034</v>
      </c>
      <c r="S95" s="154">
        <f t="shared" si="22"/>
        <v>2035</v>
      </c>
      <c r="T95" s="154">
        <f t="shared" si="22"/>
        <v>2036</v>
      </c>
      <c r="U95" s="154">
        <f t="shared" si="22"/>
        <v>2037</v>
      </c>
    </row>
    <row r="96" spans="1:21" ht="13.5">
      <c r="A96" s="96"/>
      <c r="B96" s="130" t="s">
        <v>122</v>
      </c>
      <c r="C96" s="144" t="s">
        <v>129</v>
      </c>
      <c r="D96" s="283" t="s">
        <v>119</v>
      </c>
      <c r="E96" s="147">
        <v>79714.997380463887</v>
      </c>
      <c r="F96" s="134">
        <v>82958.418120835689</v>
      </c>
      <c r="G96" s="134">
        <v>86144.483984369945</v>
      </c>
      <c r="H96" s="134">
        <v>88842.937942354823</v>
      </c>
      <c r="I96" s="134">
        <v>91496.326912005505</v>
      </c>
      <c r="J96" s="134">
        <v>94242.591826311735</v>
      </c>
      <c r="K96" s="134">
        <v>97085.43512192824</v>
      </c>
      <c r="L96" s="134">
        <v>99950.815866672914</v>
      </c>
      <c r="M96" s="134">
        <v>102835.55294881284</v>
      </c>
      <c r="N96" s="134">
        <v>105653.5409111366</v>
      </c>
      <c r="O96" s="134">
        <v>108394.09656067959</v>
      </c>
      <c r="P96" s="134">
        <v>111135.92484754616</v>
      </c>
      <c r="Q96" s="134">
        <v>113874.42991822689</v>
      </c>
      <c r="R96" s="134">
        <v>116604.68149769701</v>
      </c>
      <c r="S96" s="134">
        <v>119321.35959449633</v>
      </c>
      <c r="T96" s="134">
        <v>122114.40710544567</v>
      </c>
      <c r="U96" s="134">
        <v>124888.0179142447</v>
      </c>
    </row>
    <row r="97" spans="1:21">
      <c r="A97" s="96"/>
      <c r="B97" s="130" t="s">
        <v>123</v>
      </c>
      <c r="C97" s="144" t="s">
        <v>129</v>
      </c>
      <c r="D97" s="283" t="s">
        <v>119</v>
      </c>
      <c r="E97" s="147">
        <v>9956.9573920216171</v>
      </c>
      <c r="F97" s="134">
        <v>10362.083192404516</v>
      </c>
      <c r="G97" s="134">
        <v>10760.044969910135</v>
      </c>
      <c r="H97" s="134">
        <v>11097.10063028669</v>
      </c>
      <c r="I97" s="134">
        <v>11428.527360305585</v>
      </c>
      <c r="J97" s="134">
        <v>11771.554941532759</v>
      </c>
      <c r="K97" s="134">
        <v>12126.645834047609</v>
      </c>
      <c r="L97" s="134">
        <v>12484.551810650375</v>
      </c>
      <c r="M97" s="134">
        <v>12844.87552836891</v>
      </c>
      <c r="N97" s="134">
        <v>13196.86181694858</v>
      </c>
      <c r="O97" s="134">
        <v>13539.176271313112</v>
      </c>
      <c r="P97" s="134">
        <v>13881.649686927383</v>
      </c>
      <c r="Q97" s="134">
        <v>14223.708009735352</v>
      </c>
      <c r="R97" s="134">
        <v>14564.735414108647</v>
      </c>
      <c r="S97" s="134">
        <v>14904.067396126607</v>
      </c>
      <c r="T97" s="134">
        <v>15252.93844893091</v>
      </c>
      <c r="U97" s="134">
        <v>15599.3817225028</v>
      </c>
    </row>
    <row r="98" spans="1:21" ht="13.5">
      <c r="A98" s="96"/>
      <c r="B98" s="130" t="s">
        <v>124</v>
      </c>
      <c r="C98" s="144" t="s">
        <v>129</v>
      </c>
      <c r="D98" s="283" t="s">
        <v>119</v>
      </c>
      <c r="E98" s="147">
        <v>85654.755633988098</v>
      </c>
      <c r="F98" s="134">
        <v>89139.85153895065</v>
      </c>
      <c r="G98" s="134">
        <v>92563.318915764481</v>
      </c>
      <c r="H98" s="134">
        <v>95462.841238491281</v>
      </c>
      <c r="I98" s="134">
        <v>98313.940671043572</v>
      </c>
      <c r="J98" s="134">
        <v>101264.83646068259</v>
      </c>
      <c r="K98" s="134">
        <v>104319.50692161934</v>
      </c>
      <c r="L98" s="134">
        <v>107398.39415181059</v>
      </c>
      <c r="M98" s="134">
        <v>110498.08000715448</v>
      </c>
      <c r="N98" s="134">
        <v>113526.04310348793</v>
      </c>
      <c r="O98" s="134">
        <v>116470.80421716614</v>
      </c>
      <c r="P98" s="134">
        <v>119416.93279546888</v>
      </c>
      <c r="Q98" s="134">
        <v>122359.49053666854</v>
      </c>
      <c r="R98" s="134">
        <v>125293.17979896205</v>
      </c>
      <c r="S98" s="134">
        <v>128212.28418539188</v>
      </c>
      <c r="T98" s="134">
        <v>131213.44845668515</v>
      </c>
      <c r="U98" s="134">
        <v>134193.72774989743</v>
      </c>
    </row>
    <row r="99" spans="1:21">
      <c r="A99" s="96"/>
      <c r="B99" s="130" t="s">
        <v>125</v>
      </c>
      <c r="C99" s="144" t="s">
        <v>129</v>
      </c>
      <c r="D99" s="283" t="s">
        <v>119</v>
      </c>
      <c r="E99" s="147">
        <v>1314075.0889452605</v>
      </c>
      <c r="F99" s="134">
        <v>1367541.795812838</v>
      </c>
      <c r="G99" s="134">
        <v>1420063.0267052737</v>
      </c>
      <c r="H99" s="134">
        <v>1464546.1383075919</v>
      </c>
      <c r="I99" s="134">
        <v>1508286.3686391378</v>
      </c>
      <c r="J99" s="134">
        <v>1553557.6278767206</v>
      </c>
      <c r="K99" s="134">
        <v>1600420.9494511404</v>
      </c>
      <c r="L99" s="134">
        <v>1647655.7933418229</v>
      </c>
      <c r="M99" s="134">
        <v>1695209.7199850639</v>
      </c>
      <c r="N99" s="134">
        <v>1741663.3096974657</v>
      </c>
      <c r="O99" s="134">
        <v>1786840.4536136147</v>
      </c>
      <c r="P99" s="134">
        <v>1832038.5765306936</v>
      </c>
      <c r="Q99" s="134">
        <v>1877181.9173396558</v>
      </c>
      <c r="R99" s="134">
        <v>1922189.2021045473</v>
      </c>
      <c r="S99" s="134">
        <v>1966972.7325442298</v>
      </c>
      <c r="T99" s="134">
        <v>2013015.1872514868</v>
      </c>
      <c r="U99" s="134">
        <v>2058737.2344200581</v>
      </c>
    </row>
    <row r="100" spans="1:21">
      <c r="A100" s="96"/>
      <c r="B100" s="130" t="s">
        <v>126</v>
      </c>
      <c r="C100" s="144" t="s">
        <v>129</v>
      </c>
      <c r="D100" s="283" t="s">
        <v>119</v>
      </c>
      <c r="E100" s="147">
        <v>281803.25596215652</v>
      </c>
      <c r="F100" s="134">
        <v>293269.18527442362</v>
      </c>
      <c r="G100" s="134">
        <v>304532.3573694888</v>
      </c>
      <c r="H100" s="134">
        <v>314071.7556811354</v>
      </c>
      <c r="I100" s="134">
        <v>323451.84318728995</v>
      </c>
      <c r="J100" s="134">
        <v>333160.25967123493</v>
      </c>
      <c r="K100" s="134">
        <v>343210.09374538437</v>
      </c>
      <c r="L100" s="134">
        <v>353339.60073873476</v>
      </c>
      <c r="M100" s="134">
        <v>363537.53499271034</v>
      </c>
      <c r="N100" s="134">
        <v>373499.50211484206</v>
      </c>
      <c r="O100" s="134">
        <v>383187.73557862395</v>
      </c>
      <c r="P100" s="134">
        <v>392880.46798681072</v>
      </c>
      <c r="Q100" s="134">
        <v>402561.45237803436</v>
      </c>
      <c r="R100" s="134">
        <v>412213.25956581271</v>
      </c>
      <c r="S100" s="134">
        <v>421817.08266355703</v>
      </c>
      <c r="T100" s="134">
        <v>431690.88192978414</v>
      </c>
      <c r="U100" s="134">
        <v>441495.96983514924</v>
      </c>
    </row>
    <row r="101" spans="1:21" s="4" customFormat="1" ht="12.75">
      <c r="B101" s="64"/>
      <c r="C101" s="64"/>
      <c r="D101" s="64"/>
      <c r="E101" s="77"/>
      <c r="F101" s="50"/>
      <c r="G101" s="50"/>
      <c r="H101" s="65"/>
      <c r="I101" s="50"/>
      <c r="J101" s="54"/>
      <c r="K101" s="55"/>
    </row>
    <row r="102" spans="1:21" s="4" customFormat="1" ht="12.75">
      <c r="B102" s="346"/>
      <c r="C102" s="346" t="s">
        <v>302</v>
      </c>
      <c r="D102" s="346" t="s">
        <v>305</v>
      </c>
      <c r="E102" s="627" t="s">
        <v>307</v>
      </c>
      <c r="F102" s="627"/>
      <c r="G102" s="627"/>
      <c r="H102" s="627"/>
      <c r="I102" s="627"/>
      <c r="J102" s="627"/>
      <c r="K102" s="55"/>
    </row>
    <row r="103" spans="1:21" s="4" customFormat="1" ht="25.5" customHeight="1">
      <c r="B103" s="346"/>
      <c r="C103" s="346" t="s">
        <v>303</v>
      </c>
      <c r="D103" s="346" t="s">
        <v>301</v>
      </c>
      <c r="E103" s="628" t="s">
        <v>308</v>
      </c>
      <c r="F103" s="628" t="s">
        <v>309</v>
      </c>
      <c r="G103" s="628" t="s">
        <v>310</v>
      </c>
      <c r="H103" s="628"/>
      <c r="I103" s="628"/>
      <c r="J103" s="347" t="s">
        <v>312</v>
      </c>
      <c r="K103" s="55"/>
    </row>
    <row r="104" spans="1:21" s="4" customFormat="1" ht="12.75">
      <c r="B104" s="348"/>
      <c r="C104" s="346" t="s">
        <v>304</v>
      </c>
      <c r="D104" s="346" t="s">
        <v>306</v>
      </c>
      <c r="E104" s="628"/>
      <c r="F104" s="628"/>
      <c r="G104" s="628" t="s">
        <v>311</v>
      </c>
      <c r="H104" s="628"/>
      <c r="I104" s="628"/>
      <c r="J104" s="347" t="s">
        <v>313</v>
      </c>
      <c r="K104" s="55"/>
    </row>
    <row r="105" spans="1:21" s="4" customFormat="1" ht="12.75">
      <c r="B105" s="348"/>
      <c r="C105" s="348"/>
      <c r="D105" s="348"/>
      <c r="E105" s="628"/>
      <c r="F105" s="628"/>
      <c r="G105" s="347" t="s">
        <v>314</v>
      </c>
      <c r="H105" s="347" t="s">
        <v>316</v>
      </c>
      <c r="I105" s="628" t="s">
        <v>318</v>
      </c>
      <c r="J105" s="347" t="s">
        <v>316</v>
      </c>
      <c r="K105" s="55"/>
    </row>
    <row r="106" spans="1:21" s="4" customFormat="1" ht="15">
      <c r="B106" s="348"/>
      <c r="C106" s="348"/>
      <c r="D106" s="348"/>
      <c r="E106" s="628"/>
      <c r="F106" s="628"/>
      <c r="G106" s="347" t="s">
        <v>315</v>
      </c>
      <c r="H106" s="347" t="s">
        <v>317</v>
      </c>
      <c r="I106" s="628"/>
      <c r="J106" s="347" t="s">
        <v>317</v>
      </c>
      <c r="K106" s="455"/>
    </row>
    <row r="107" spans="1:21" s="4" customFormat="1" ht="12.75">
      <c r="B107" s="349" t="s">
        <v>335</v>
      </c>
      <c r="C107" s="350"/>
      <c r="D107" s="351"/>
      <c r="E107" s="350"/>
      <c r="F107" s="350"/>
      <c r="G107" s="454"/>
      <c r="H107" s="454">
        <v>1.4493830631115132</v>
      </c>
      <c r="I107" s="454">
        <v>12.14060571267682</v>
      </c>
      <c r="J107" s="485">
        <v>0.44938306311151321</v>
      </c>
      <c r="K107" s="452"/>
    </row>
    <row r="108" spans="1:21" s="4" customFormat="1" ht="20.25">
      <c r="B108" s="352"/>
      <c r="C108" s="353"/>
      <c r="D108" s="354"/>
      <c r="E108" s="505"/>
      <c r="F108" s="506" t="s">
        <v>503</v>
      </c>
      <c r="G108" s="507">
        <v>1485.6176396893011</v>
      </c>
      <c r="H108" s="354"/>
      <c r="I108" s="354"/>
      <c r="J108" s="355"/>
      <c r="K108" s="57"/>
    </row>
    <row r="109" spans="1:21" s="4" customFormat="1" ht="20.25">
      <c r="B109" s="268" t="s">
        <v>319</v>
      </c>
      <c r="C109" s="357">
        <v>0.35913047845322377</v>
      </c>
      <c r="D109" s="354"/>
      <c r="F109" s="453" t="s">
        <v>372</v>
      </c>
      <c r="G109" s="484">
        <v>122.36767051400641</v>
      </c>
      <c r="H109" s="354"/>
      <c r="I109" s="354"/>
      <c r="J109" s="355"/>
      <c r="K109" s="57"/>
    </row>
    <row r="110" spans="1:21" s="4" customFormat="1" ht="24">
      <c r="B110" s="463" t="s">
        <v>452</v>
      </c>
      <c r="C110" s="356">
        <f>J107*C109</f>
        <v>0.161387154464013</v>
      </c>
      <c r="D110" s="354"/>
      <c r="F110" s="453" t="s">
        <v>373</v>
      </c>
      <c r="G110" s="484">
        <v>1025</v>
      </c>
      <c r="H110" s="354"/>
      <c r="I110" s="354"/>
      <c r="J110" s="355"/>
      <c r="K110" s="57"/>
    </row>
    <row r="111" spans="1:21" s="4" customFormat="1" ht="20.25">
      <c r="B111" s="57"/>
      <c r="C111" s="57"/>
      <c r="D111" s="57"/>
      <c r="H111" s="57"/>
      <c r="I111" s="57"/>
      <c r="J111" s="57"/>
      <c r="K111" s="57"/>
    </row>
    <row r="112" spans="1:21">
      <c r="A112" s="96"/>
      <c r="B112" s="130"/>
      <c r="C112" s="141"/>
      <c r="D112" s="283"/>
      <c r="E112" s="139"/>
      <c r="F112" s="139"/>
      <c r="G112" s="13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</row>
    <row r="113" spans="1:21" ht="13.5">
      <c r="A113" s="96"/>
      <c r="B113" s="131" t="s">
        <v>127</v>
      </c>
      <c r="C113" s="142"/>
      <c r="D113" s="283"/>
      <c r="E113" s="90">
        <f t="shared" ref="E113:U113" si="23">E14</f>
        <v>2021</v>
      </c>
      <c r="F113" s="90">
        <f t="shared" si="23"/>
        <v>2022</v>
      </c>
      <c r="G113" s="90">
        <f t="shared" si="23"/>
        <v>2023</v>
      </c>
      <c r="H113" s="90">
        <f t="shared" si="23"/>
        <v>2024</v>
      </c>
      <c r="I113" s="90">
        <f t="shared" si="23"/>
        <v>2025</v>
      </c>
      <c r="J113" s="90">
        <f t="shared" si="23"/>
        <v>2026</v>
      </c>
      <c r="K113" s="90">
        <f t="shared" si="23"/>
        <v>2027</v>
      </c>
      <c r="L113" s="90">
        <f t="shared" si="23"/>
        <v>2028</v>
      </c>
      <c r="M113" s="90">
        <f t="shared" si="23"/>
        <v>2029</v>
      </c>
      <c r="N113" s="90">
        <f t="shared" si="23"/>
        <v>2030</v>
      </c>
      <c r="O113" s="90">
        <f t="shared" si="23"/>
        <v>2031</v>
      </c>
      <c r="P113" s="90">
        <f t="shared" si="23"/>
        <v>2032</v>
      </c>
      <c r="Q113" s="90">
        <f t="shared" si="23"/>
        <v>2033</v>
      </c>
      <c r="R113" s="90">
        <f t="shared" si="23"/>
        <v>2034</v>
      </c>
      <c r="S113" s="90">
        <f t="shared" si="23"/>
        <v>2035</v>
      </c>
      <c r="T113" s="90">
        <f t="shared" si="23"/>
        <v>2036</v>
      </c>
      <c r="U113" s="90">
        <f t="shared" si="23"/>
        <v>2037</v>
      </c>
    </row>
    <row r="114" spans="1:21" ht="24">
      <c r="A114" s="96"/>
      <c r="B114" s="268" t="s">
        <v>350</v>
      </c>
      <c r="C114" s="267" t="s">
        <v>168</v>
      </c>
      <c r="D114" s="283" t="s">
        <v>200</v>
      </c>
      <c r="E114" s="140">
        <v>2.68</v>
      </c>
      <c r="F114" s="140">
        <f>E114</f>
        <v>2.68</v>
      </c>
      <c r="G114" s="140">
        <f t="shared" ref="G114:S114" si="24">F114</f>
        <v>2.68</v>
      </c>
      <c r="H114" s="140">
        <f t="shared" si="24"/>
        <v>2.68</v>
      </c>
      <c r="I114" s="140">
        <f t="shared" si="24"/>
        <v>2.68</v>
      </c>
      <c r="J114" s="140">
        <f t="shared" si="24"/>
        <v>2.68</v>
      </c>
      <c r="K114" s="140">
        <f t="shared" si="24"/>
        <v>2.68</v>
      </c>
      <c r="L114" s="140">
        <f t="shared" si="24"/>
        <v>2.68</v>
      </c>
      <c r="M114" s="140">
        <f t="shared" si="24"/>
        <v>2.68</v>
      </c>
      <c r="N114" s="140">
        <f t="shared" si="24"/>
        <v>2.68</v>
      </c>
      <c r="O114" s="140">
        <f t="shared" si="24"/>
        <v>2.68</v>
      </c>
      <c r="P114" s="140">
        <f t="shared" si="24"/>
        <v>2.68</v>
      </c>
      <c r="Q114" s="140">
        <f t="shared" si="24"/>
        <v>2.68</v>
      </c>
      <c r="R114" s="140">
        <f t="shared" si="24"/>
        <v>2.68</v>
      </c>
      <c r="S114" s="140">
        <f t="shared" si="24"/>
        <v>2.68</v>
      </c>
      <c r="T114" s="140">
        <f t="shared" ref="T114" si="25">S114</f>
        <v>2.68</v>
      </c>
      <c r="U114" s="140">
        <f t="shared" ref="U114" si="26">T114</f>
        <v>2.68</v>
      </c>
    </row>
    <row r="115" spans="1:21" ht="13.5">
      <c r="A115" s="96"/>
      <c r="B115" s="130" t="s">
        <v>72</v>
      </c>
      <c r="C115" s="144" t="s">
        <v>71</v>
      </c>
      <c r="D115" s="283" t="s">
        <v>119</v>
      </c>
      <c r="E115" s="138">
        <v>188.60725391508436</v>
      </c>
      <c r="F115" s="138">
        <v>193.99603259837247</v>
      </c>
      <c r="G115" s="138">
        <v>199.38481128166063</v>
      </c>
      <c r="H115" s="138">
        <v>204.77358996494871</v>
      </c>
      <c r="I115" s="138">
        <v>210.16236864823688</v>
      </c>
      <c r="J115" s="138">
        <v>215.55114733152499</v>
      </c>
      <c r="K115" s="138">
        <v>220.93992601481312</v>
      </c>
      <c r="L115" s="138">
        <v>226.32870469810123</v>
      </c>
      <c r="M115" s="138">
        <v>231.71748338138934</v>
      </c>
      <c r="N115" s="138">
        <v>237.10626206467751</v>
      </c>
      <c r="O115" s="138">
        <v>242.49504074796559</v>
      </c>
      <c r="P115" s="138">
        <v>247.88381943125376</v>
      </c>
      <c r="Q115" s="138">
        <v>253.27259811454186</v>
      </c>
      <c r="R115" s="138">
        <v>258.66137679782997</v>
      </c>
      <c r="S115" s="138">
        <v>264.05015548111811</v>
      </c>
      <c r="T115" s="138">
        <v>269.43893416440625</v>
      </c>
      <c r="U115" s="138">
        <v>274.82771284769433</v>
      </c>
    </row>
    <row r="116" spans="1:21" ht="60">
      <c r="A116" s="96"/>
      <c r="B116" s="266" t="s">
        <v>410</v>
      </c>
      <c r="C116" s="267" t="s">
        <v>73</v>
      </c>
      <c r="D116" s="283" t="s">
        <v>409</v>
      </c>
      <c r="E116" s="501">
        <v>792</v>
      </c>
      <c r="F116" s="138">
        <f>E116-($E$116-$I$116)/4</f>
        <v>784</v>
      </c>
      <c r="G116" s="138">
        <f t="shared" ref="G116:H116" si="27">F116-($E$116-$I$116)/4</f>
        <v>776</v>
      </c>
      <c r="H116" s="138">
        <f t="shared" si="27"/>
        <v>768</v>
      </c>
      <c r="I116" s="501">
        <v>760</v>
      </c>
      <c r="J116" s="138">
        <f>I116-($I$116-$N$116)/5</f>
        <v>740</v>
      </c>
      <c r="K116" s="138">
        <f t="shared" ref="K116:M116" si="28">J116-($I$116-$N$116)/5</f>
        <v>720</v>
      </c>
      <c r="L116" s="138">
        <f t="shared" si="28"/>
        <v>700</v>
      </c>
      <c r="M116" s="138">
        <f t="shared" si="28"/>
        <v>680</v>
      </c>
      <c r="N116" s="501">
        <v>660</v>
      </c>
      <c r="O116" s="138">
        <f>N116-($N$116-$S$116)/5</f>
        <v>624</v>
      </c>
      <c r="P116" s="138">
        <f t="shared" ref="P116:R116" si="29">O116-($N$116-$S$116)/5</f>
        <v>588</v>
      </c>
      <c r="Q116" s="138">
        <f t="shared" si="29"/>
        <v>552</v>
      </c>
      <c r="R116" s="138">
        <f t="shared" si="29"/>
        <v>516</v>
      </c>
      <c r="S116" s="501">
        <v>480</v>
      </c>
      <c r="T116" s="138">
        <f>S116-(S116-U116)/2</f>
        <v>435</v>
      </c>
      <c r="U116" s="501">
        <v>390</v>
      </c>
    </row>
    <row r="117" spans="1:21">
      <c r="A117" s="96"/>
      <c r="B117" s="130"/>
      <c r="C117" s="148"/>
      <c r="D117" s="283"/>
      <c r="E117" s="157"/>
      <c r="F117" s="157"/>
      <c r="G117" s="157"/>
      <c r="H117" s="157"/>
      <c r="I117" s="157"/>
      <c r="J117" s="157"/>
      <c r="K117" s="157"/>
      <c r="L117" s="157"/>
      <c r="M117" s="157"/>
      <c r="N117" s="157"/>
      <c r="O117" s="157"/>
      <c r="P117" s="157"/>
      <c r="Q117" s="157"/>
      <c r="R117" s="157"/>
      <c r="S117" s="157"/>
    </row>
    <row r="118" spans="1:21">
      <c r="A118" s="96"/>
      <c r="B118" s="131" t="s">
        <v>141</v>
      </c>
      <c r="C118" s="148"/>
      <c r="D118" s="421"/>
      <c r="E118" s="145" t="s">
        <v>344</v>
      </c>
      <c r="F118" s="129"/>
      <c r="G118" s="157"/>
      <c r="H118" s="157"/>
      <c r="I118" s="157"/>
      <c r="J118" s="157"/>
      <c r="K118" s="157"/>
      <c r="L118" s="157"/>
      <c r="M118" s="157"/>
      <c r="N118" s="157"/>
      <c r="O118" s="157"/>
      <c r="P118" s="157"/>
      <c r="Q118" s="157"/>
      <c r="R118" s="157"/>
      <c r="S118" s="157"/>
    </row>
    <row r="119" spans="1:21" ht="12" customHeight="1">
      <c r="A119" s="96"/>
      <c r="B119" s="130" t="s">
        <v>202</v>
      </c>
      <c r="C119" s="148" t="s">
        <v>1</v>
      </c>
      <c r="D119" s="621" t="s">
        <v>255</v>
      </c>
      <c r="E119" s="135">
        <v>1.44E-2</v>
      </c>
      <c r="F119" s="341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</row>
    <row r="120" spans="1:21">
      <c r="A120" s="96"/>
      <c r="B120" s="130" t="s">
        <v>203</v>
      </c>
      <c r="C120" s="148" t="s">
        <v>1</v>
      </c>
      <c r="D120" s="621"/>
      <c r="E120" s="135">
        <v>3.0300000000000001E-2</v>
      </c>
      <c r="F120" s="341"/>
      <c r="G120" s="157"/>
      <c r="H120" s="157"/>
      <c r="I120" s="157"/>
      <c r="J120" s="157"/>
      <c r="K120" s="157"/>
      <c r="L120" s="157"/>
      <c r="M120" s="157"/>
      <c r="N120" s="157"/>
      <c r="O120" s="157"/>
      <c r="P120" s="157"/>
      <c r="Q120" s="157"/>
      <c r="R120" s="157"/>
      <c r="S120" s="157"/>
    </row>
    <row r="121" spans="1:21">
      <c r="A121" s="96"/>
      <c r="B121" s="130" t="s">
        <v>204</v>
      </c>
      <c r="C121" s="148" t="s">
        <v>1</v>
      </c>
      <c r="D121" s="621"/>
      <c r="E121" s="135">
        <v>0.02</v>
      </c>
      <c r="F121" s="341"/>
      <c r="G121" s="157"/>
      <c r="H121" s="157"/>
      <c r="I121" s="157"/>
      <c r="J121" s="157"/>
      <c r="K121" s="157"/>
      <c r="L121" s="157"/>
      <c r="M121" s="157"/>
      <c r="N121" s="157"/>
      <c r="O121" s="157"/>
      <c r="P121" s="157"/>
      <c r="Q121" s="157"/>
      <c r="R121" s="157"/>
      <c r="S121" s="157"/>
    </row>
    <row r="122" spans="1:21">
      <c r="A122" s="96"/>
      <c r="B122" s="130" t="s">
        <v>205</v>
      </c>
      <c r="C122" s="148" t="s">
        <v>1</v>
      </c>
      <c r="D122" s="621"/>
      <c r="E122" s="135">
        <f>ROUND(E119+E120+E121,3)</f>
        <v>6.5000000000000002E-2</v>
      </c>
      <c r="F122" s="341"/>
      <c r="G122" s="157"/>
      <c r="H122" s="157"/>
      <c r="I122" s="157"/>
      <c r="J122" s="157"/>
      <c r="K122" s="157"/>
      <c r="L122" s="157"/>
      <c r="M122" s="157"/>
      <c r="N122" s="157"/>
      <c r="O122" s="157"/>
      <c r="P122" s="157"/>
      <c r="Q122" s="157"/>
      <c r="R122" s="157"/>
      <c r="S122" s="157"/>
    </row>
    <row r="123" spans="1:21">
      <c r="A123" s="96"/>
      <c r="B123" s="130" t="s">
        <v>142</v>
      </c>
      <c r="C123" s="148" t="s">
        <v>90</v>
      </c>
      <c r="D123" s="621"/>
      <c r="E123" s="520">
        <f>1/(1-E122)</f>
        <v>1.0695187165775399</v>
      </c>
      <c r="F123" s="493"/>
      <c r="G123" s="157"/>
      <c r="H123" s="157"/>
      <c r="I123" s="157"/>
      <c r="J123" s="157"/>
      <c r="K123" s="157"/>
      <c r="L123" s="157"/>
      <c r="M123" s="157"/>
      <c r="N123" s="157"/>
      <c r="O123" s="157"/>
      <c r="P123" s="157"/>
      <c r="Q123" s="157"/>
      <c r="R123" s="157"/>
      <c r="S123" s="157"/>
    </row>
    <row r="124" spans="1:21" s="6" customFormat="1">
      <c r="B124" s="205"/>
      <c r="C124" s="200"/>
      <c r="D124" s="287"/>
      <c r="E124" s="12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</row>
    <row r="125" spans="1:21">
      <c r="A125" s="269" t="s">
        <v>21</v>
      </c>
      <c r="B125" s="95" t="s">
        <v>504</v>
      </c>
      <c r="C125" s="95"/>
      <c r="D125" s="95"/>
      <c r="E125" s="84"/>
      <c r="F125" s="85"/>
      <c r="G125" s="85"/>
      <c r="H125" s="281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</row>
    <row r="126" spans="1:21" s="6" customFormat="1" ht="3" customHeight="1">
      <c r="B126" s="4"/>
      <c r="C126" s="200"/>
      <c r="D126" s="288"/>
      <c r="E126" s="12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</row>
    <row r="127" spans="1:21" ht="48" customHeight="1">
      <c r="A127" s="207" t="s">
        <v>130</v>
      </c>
      <c r="B127" s="207" t="s">
        <v>131</v>
      </c>
      <c r="C127" s="207" t="s">
        <v>133</v>
      </c>
      <c r="D127" s="207" t="s">
        <v>134</v>
      </c>
      <c r="E127" s="207" t="s">
        <v>269</v>
      </c>
      <c r="F127" s="207" t="s">
        <v>405</v>
      </c>
      <c r="G127" s="207" t="s">
        <v>132</v>
      </c>
      <c r="H127" s="207" t="s">
        <v>505</v>
      </c>
      <c r="I127" s="207"/>
      <c r="J127" s="220"/>
      <c r="L127" s="171"/>
      <c r="O127" s="49"/>
      <c r="P127" s="49"/>
      <c r="Q127" s="49"/>
      <c r="R127" s="49"/>
      <c r="S127" s="49"/>
    </row>
    <row r="128" spans="1:21">
      <c r="A128" s="222">
        <v>1</v>
      </c>
      <c r="B128" s="447" t="s">
        <v>501</v>
      </c>
      <c r="C128" s="600">
        <v>8.25</v>
      </c>
      <c r="D128" s="447">
        <v>2020</v>
      </c>
      <c r="E128" s="447" t="s">
        <v>209</v>
      </c>
      <c r="F128" s="448"/>
      <c r="G128" s="449">
        <v>6</v>
      </c>
      <c r="H128" s="477">
        <v>18</v>
      </c>
      <c r="I128" s="215"/>
      <c r="N128" s="435" t="s">
        <v>209</v>
      </c>
      <c r="O128" s="430" t="s">
        <v>340</v>
      </c>
      <c r="P128" s="476" t="s">
        <v>392</v>
      </c>
      <c r="Q128" s="478" t="s">
        <v>394</v>
      </c>
      <c r="R128" s="49"/>
      <c r="S128" s="49"/>
    </row>
    <row r="129" spans="1:19">
      <c r="A129" s="222">
        <f>A128+1</f>
        <v>2</v>
      </c>
      <c r="B129" s="447" t="s">
        <v>501</v>
      </c>
      <c r="C129" s="600">
        <v>8.25</v>
      </c>
      <c r="D129" s="447">
        <v>2020</v>
      </c>
      <c r="E129" s="447" t="s">
        <v>209</v>
      </c>
      <c r="F129" s="448"/>
      <c r="G129" s="449">
        <v>6</v>
      </c>
      <c r="H129" s="477">
        <v>18</v>
      </c>
      <c r="I129" s="215"/>
      <c r="Q129" s="49"/>
      <c r="R129" s="49"/>
      <c r="S129" s="49"/>
    </row>
    <row r="130" spans="1:19">
      <c r="A130" s="222">
        <f t="shared" ref="A130:A168" si="30">A129+1</f>
        <v>3</v>
      </c>
      <c r="B130" s="447" t="s">
        <v>501</v>
      </c>
      <c r="C130" s="600">
        <v>8.25</v>
      </c>
      <c r="D130" s="447">
        <v>2020</v>
      </c>
      <c r="E130" s="447" t="s">
        <v>209</v>
      </c>
      <c r="F130" s="448"/>
      <c r="G130" s="449">
        <v>6</v>
      </c>
      <c r="H130" s="477">
        <v>18</v>
      </c>
      <c r="I130" s="215"/>
      <c r="K130" s="633" t="s">
        <v>383</v>
      </c>
      <c r="L130" s="633"/>
      <c r="M130" s="13" t="s">
        <v>471</v>
      </c>
      <c r="Q130" s="49"/>
      <c r="R130" s="49"/>
      <c r="S130" s="49"/>
    </row>
    <row r="131" spans="1:19">
      <c r="A131" s="222">
        <f t="shared" si="30"/>
        <v>4</v>
      </c>
      <c r="B131" s="447" t="s">
        <v>501</v>
      </c>
      <c r="C131" s="600">
        <v>8.25</v>
      </c>
      <c r="D131" s="447">
        <v>2021</v>
      </c>
      <c r="E131" s="447" t="s">
        <v>209</v>
      </c>
      <c r="F131" s="448"/>
      <c r="G131" s="449">
        <v>6</v>
      </c>
      <c r="H131" s="477">
        <v>18</v>
      </c>
      <c r="I131" s="215"/>
      <c r="K131" s="431">
        <v>1</v>
      </c>
      <c r="L131" s="431"/>
      <c r="M131" s="97" t="s">
        <v>426</v>
      </c>
      <c r="N131" s="39">
        <f t="shared" ref="N131:N136" si="31">COUNTIFS($G$128:$G$170,$K131,$E$128:$E$170,"ON",$C$128:$C$170,"&lt;10")</f>
        <v>0</v>
      </c>
      <c r="O131" s="39">
        <f t="shared" ref="O131:O136" si="32">COUNTIFS($G$128:$G$170,$K131,$E$128:$E$170,"CNG",$C$128:$C$170,"&lt;10")</f>
        <v>0</v>
      </c>
      <c r="P131" s="39"/>
      <c r="Q131" s="39"/>
      <c r="R131" s="49"/>
      <c r="S131" s="49"/>
    </row>
    <row r="132" spans="1:19">
      <c r="A132" s="222">
        <f t="shared" si="30"/>
        <v>5</v>
      </c>
      <c r="B132" s="447" t="s">
        <v>501</v>
      </c>
      <c r="C132" s="600">
        <v>8.25</v>
      </c>
      <c r="D132" s="447">
        <v>2021</v>
      </c>
      <c r="E132" s="447" t="s">
        <v>209</v>
      </c>
      <c r="F132" s="448"/>
      <c r="G132" s="449">
        <v>6</v>
      </c>
      <c r="H132" s="477">
        <v>18</v>
      </c>
      <c r="I132" s="215"/>
      <c r="K132" s="431">
        <v>2</v>
      </c>
      <c r="L132" s="431"/>
      <c r="M132" s="97" t="s">
        <v>432</v>
      </c>
      <c r="N132" s="39">
        <f t="shared" si="31"/>
        <v>0</v>
      </c>
      <c r="O132" s="39">
        <f t="shared" si="32"/>
        <v>0</v>
      </c>
      <c r="P132" s="39"/>
      <c r="Q132" s="39"/>
      <c r="R132" s="49"/>
      <c r="S132" s="49"/>
    </row>
    <row r="133" spans="1:19">
      <c r="A133" s="222">
        <f t="shared" si="30"/>
        <v>6</v>
      </c>
      <c r="B133" s="447" t="s">
        <v>501</v>
      </c>
      <c r="C133" s="600">
        <v>8.25</v>
      </c>
      <c r="D133" s="447">
        <v>2021</v>
      </c>
      <c r="E133" s="447" t="s">
        <v>209</v>
      </c>
      <c r="F133" s="448"/>
      <c r="G133" s="449">
        <v>6</v>
      </c>
      <c r="H133" s="477">
        <v>18</v>
      </c>
      <c r="I133" s="215"/>
      <c r="K133" s="431">
        <v>3</v>
      </c>
      <c r="L133" s="431"/>
      <c r="M133" s="97" t="s">
        <v>427</v>
      </c>
      <c r="N133" s="39">
        <f t="shared" si="31"/>
        <v>0</v>
      </c>
      <c r="O133" s="39">
        <f t="shared" si="32"/>
        <v>0</v>
      </c>
      <c r="P133" s="39"/>
      <c r="Q133" s="39"/>
      <c r="R133" s="49"/>
      <c r="S133" s="49"/>
    </row>
    <row r="134" spans="1:19">
      <c r="A134" s="222">
        <f t="shared" si="30"/>
        <v>7</v>
      </c>
      <c r="B134" s="447" t="s">
        <v>501</v>
      </c>
      <c r="C134" s="600">
        <v>8.25</v>
      </c>
      <c r="D134" s="447">
        <v>2021</v>
      </c>
      <c r="E134" s="447" t="s">
        <v>209</v>
      </c>
      <c r="F134" s="448"/>
      <c r="G134" s="449">
        <v>6</v>
      </c>
      <c r="H134" s="477">
        <v>18</v>
      </c>
      <c r="I134" s="215"/>
      <c r="K134" s="431">
        <v>4</v>
      </c>
      <c r="L134" s="431"/>
      <c r="M134" s="97" t="s">
        <v>428</v>
      </c>
      <c r="N134" s="39">
        <f t="shared" si="31"/>
        <v>0</v>
      </c>
      <c r="O134" s="39">
        <f t="shared" si="32"/>
        <v>0</v>
      </c>
      <c r="P134" s="39"/>
      <c r="Q134" s="39"/>
      <c r="R134" s="49"/>
      <c r="S134" s="49"/>
    </row>
    <row r="135" spans="1:19">
      <c r="A135" s="222">
        <f t="shared" si="30"/>
        <v>8</v>
      </c>
      <c r="B135" s="447" t="s">
        <v>501</v>
      </c>
      <c r="C135" s="600">
        <v>8.25</v>
      </c>
      <c r="D135" s="447">
        <v>2021</v>
      </c>
      <c r="E135" s="447" t="s">
        <v>209</v>
      </c>
      <c r="F135" s="448"/>
      <c r="G135" s="449">
        <v>6</v>
      </c>
      <c r="H135" s="477">
        <v>18</v>
      </c>
      <c r="I135" s="215"/>
      <c r="K135" s="431">
        <v>5</v>
      </c>
      <c r="L135" s="431"/>
      <c r="M135" s="97" t="s">
        <v>438</v>
      </c>
      <c r="N135" s="39">
        <f t="shared" si="31"/>
        <v>0</v>
      </c>
      <c r="O135" s="39">
        <f t="shared" si="32"/>
        <v>0</v>
      </c>
      <c r="P135" s="39"/>
      <c r="Q135" s="39"/>
      <c r="R135" s="49"/>
      <c r="S135" s="49"/>
    </row>
    <row r="136" spans="1:19">
      <c r="A136" s="222">
        <f t="shared" si="30"/>
        <v>9</v>
      </c>
      <c r="B136" s="447" t="s">
        <v>501</v>
      </c>
      <c r="C136" s="600">
        <v>8.25</v>
      </c>
      <c r="D136" s="447">
        <v>2021</v>
      </c>
      <c r="E136" s="447" t="s">
        <v>209</v>
      </c>
      <c r="F136" s="448"/>
      <c r="G136" s="449">
        <v>6</v>
      </c>
      <c r="H136" s="477">
        <v>18</v>
      </c>
      <c r="I136" s="215"/>
      <c r="K136" s="431">
        <v>6</v>
      </c>
      <c r="L136" s="431"/>
      <c r="M136" s="97" t="s">
        <v>430</v>
      </c>
      <c r="N136" s="39">
        <f t="shared" si="31"/>
        <v>23</v>
      </c>
      <c r="O136" s="39">
        <f t="shared" si="32"/>
        <v>0</v>
      </c>
      <c r="P136" s="39"/>
      <c r="Q136" s="39"/>
      <c r="R136" s="49"/>
      <c r="S136" s="49"/>
    </row>
    <row r="137" spans="1:19">
      <c r="A137" s="222">
        <f t="shared" si="30"/>
        <v>10</v>
      </c>
      <c r="B137" s="447" t="s">
        <v>501</v>
      </c>
      <c r="C137" s="600">
        <v>8.25</v>
      </c>
      <c r="D137" s="447">
        <v>2021</v>
      </c>
      <c r="E137" s="447" t="s">
        <v>209</v>
      </c>
      <c r="F137" s="448"/>
      <c r="G137" s="449">
        <v>6</v>
      </c>
      <c r="H137" s="477">
        <v>18</v>
      </c>
      <c r="I137" s="215"/>
      <c r="K137" s="431">
        <v>6</v>
      </c>
      <c r="L137" s="431"/>
      <c r="M137" s="97" t="s">
        <v>439</v>
      </c>
      <c r="N137" s="39">
        <f>COUNTIFS($G$128:$G$170,$K137,$E$128:$E$170,"ON hybryda",$C$128:$C$170,"&lt;10")</f>
        <v>0</v>
      </c>
      <c r="O137" s="39">
        <f>COUNTIFS($G$128:$G$170,$K137,$E$128:$E$170,"CNG HYBRYDA",$C$128:$C$170,"&lt;10")</f>
        <v>0</v>
      </c>
      <c r="P137" s="39"/>
      <c r="Q137" s="39"/>
      <c r="R137" s="49"/>
      <c r="S137" s="49"/>
    </row>
    <row r="138" spans="1:19">
      <c r="A138" s="222">
        <f t="shared" si="30"/>
        <v>11</v>
      </c>
      <c r="B138" s="447" t="s">
        <v>501</v>
      </c>
      <c r="C138" s="600">
        <v>8.25</v>
      </c>
      <c r="D138" s="447">
        <v>2021</v>
      </c>
      <c r="E138" s="447" t="s">
        <v>209</v>
      </c>
      <c r="F138" s="448"/>
      <c r="G138" s="449">
        <v>6</v>
      </c>
      <c r="H138" s="477">
        <v>18</v>
      </c>
      <c r="I138" s="215"/>
      <c r="K138" s="431"/>
      <c r="L138" s="431"/>
      <c r="M138" s="97" t="s">
        <v>344</v>
      </c>
      <c r="N138" s="39"/>
      <c r="O138" s="39"/>
      <c r="P138" s="39">
        <f>COUNTIFS($E$128:$E$170,"EL",$C$128:$C$170,"&lt;15")</f>
        <v>0</v>
      </c>
      <c r="Q138" s="39"/>
      <c r="R138" s="49"/>
      <c r="S138" s="49"/>
    </row>
    <row r="139" spans="1:19">
      <c r="A139" s="222">
        <f t="shared" si="30"/>
        <v>12</v>
      </c>
      <c r="B139" s="447" t="s">
        <v>501</v>
      </c>
      <c r="C139" s="600">
        <v>8.25</v>
      </c>
      <c r="D139" s="447">
        <v>2021</v>
      </c>
      <c r="E139" s="447" t="s">
        <v>209</v>
      </c>
      <c r="F139" s="448"/>
      <c r="G139" s="449">
        <v>6</v>
      </c>
      <c r="H139" s="477">
        <v>18</v>
      </c>
      <c r="I139" s="215"/>
      <c r="M139" s="97" t="s">
        <v>393</v>
      </c>
      <c r="N139" s="97"/>
      <c r="O139" s="97"/>
      <c r="P139" s="97"/>
      <c r="Q139" s="39">
        <f>COUNTIFS($E$128:$E$170,"TROLEJBUS",$C$128:$C$170,"&lt;15")</f>
        <v>0</v>
      </c>
      <c r="R139" s="49"/>
      <c r="S139" s="49"/>
    </row>
    <row r="140" spans="1:19">
      <c r="A140" s="222">
        <f t="shared" si="30"/>
        <v>13</v>
      </c>
      <c r="B140" s="447" t="s">
        <v>501</v>
      </c>
      <c r="C140" s="600">
        <v>8.25</v>
      </c>
      <c r="D140" s="447">
        <v>2021</v>
      </c>
      <c r="E140" s="447" t="s">
        <v>209</v>
      </c>
      <c r="F140" s="448"/>
      <c r="G140" s="449">
        <v>6</v>
      </c>
      <c r="H140" s="477">
        <v>18</v>
      </c>
      <c r="I140" s="215"/>
      <c r="N140" s="433">
        <f>SUM(N131:N139)</f>
        <v>23</v>
      </c>
      <c r="O140" s="433">
        <f>SUM(O131:O139)</f>
        <v>0</v>
      </c>
      <c r="P140" s="433">
        <f>SUM(P131:P139)</f>
        <v>0</v>
      </c>
      <c r="Q140" s="433">
        <f>SUM(Q131:Q139)</f>
        <v>0</v>
      </c>
      <c r="R140" s="49"/>
      <c r="S140" s="49"/>
    </row>
    <row r="141" spans="1:19">
      <c r="A141" s="222">
        <f t="shared" si="30"/>
        <v>14</v>
      </c>
      <c r="B141" s="447" t="s">
        <v>501</v>
      </c>
      <c r="C141" s="600">
        <v>8.25</v>
      </c>
      <c r="D141" s="447">
        <v>2021</v>
      </c>
      <c r="E141" s="447" t="s">
        <v>209</v>
      </c>
      <c r="F141" s="448"/>
      <c r="G141" s="449">
        <v>6</v>
      </c>
      <c r="H141" s="477">
        <v>18</v>
      </c>
      <c r="I141" s="215"/>
      <c r="S141" s="49"/>
    </row>
    <row r="142" spans="1:19">
      <c r="A142" s="222">
        <f t="shared" si="30"/>
        <v>15</v>
      </c>
      <c r="B142" s="447" t="s">
        <v>501</v>
      </c>
      <c r="C142" s="600">
        <v>8.25</v>
      </c>
      <c r="D142" s="447">
        <v>2021</v>
      </c>
      <c r="E142" s="447" t="s">
        <v>209</v>
      </c>
      <c r="F142" s="448"/>
      <c r="G142" s="449">
        <v>6</v>
      </c>
      <c r="H142" s="477">
        <v>18</v>
      </c>
      <c r="I142" s="215"/>
      <c r="N142" s="435" t="s">
        <v>209</v>
      </c>
      <c r="O142" s="486" t="s">
        <v>340</v>
      </c>
      <c r="P142" s="486" t="s">
        <v>392</v>
      </c>
      <c r="Q142" s="486" t="s">
        <v>394</v>
      </c>
      <c r="S142" s="49"/>
    </row>
    <row r="143" spans="1:19">
      <c r="A143" s="222">
        <f t="shared" si="30"/>
        <v>16</v>
      </c>
      <c r="B143" s="447" t="s">
        <v>501</v>
      </c>
      <c r="C143" s="600">
        <v>8.25</v>
      </c>
      <c r="D143" s="447">
        <v>2021</v>
      </c>
      <c r="E143" s="447" t="s">
        <v>209</v>
      </c>
      <c r="F143" s="448"/>
      <c r="G143" s="449">
        <v>6</v>
      </c>
      <c r="H143" s="477">
        <v>18</v>
      </c>
      <c r="I143" s="215"/>
      <c r="Q143" s="49"/>
      <c r="S143" s="49"/>
    </row>
    <row r="144" spans="1:19">
      <c r="A144" s="222">
        <f t="shared" si="30"/>
        <v>17</v>
      </c>
      <c r="B144" s="447" t="s">
        <v>501</v>
      </c>
      <c r="C144" s="600">
        <v>8.25</v>
      </c>
      <c r="D144" s="447">
        <v>2021</v>
      </c>
      <c r="E144" s="447" t="s">
        <v>209</v>
      </c>
      <c r="F144" s="448"/>
      <c r="G144" s="449">
        <v>6</v>
      </c>
      <c r="H144" s="477">
        <v>18</v>
      </c>
      <c r="I144" s="215"/>
      <c r="K144" s="633" t="s">
        <v>383</v>
      </c>
      <c r="L144" s="633"/>
      <c r="M144" s="13" t="s">
        <v>472</v>
      </c>
      <c r="Q144" s="49"/>
      <c r="S144" s="49"/>
    </row>
    <row r="145" spans="1:19">
      <c r="A145" s="222">
        <f t="shared" si="30"/>
        <v>18</v>
      </c>
      <c r="B145" s="447" t="s">
        <v>501</v>
      </c>
      <c r="C145" s="600">
        <v>8.25</v>
      </c>
      <c r="D145" s="447">
        <v>2021</v>
      </c>
      <c r="E145" s="447" t="s">
        <v>209</v>
      </c>
      <c r="F145" s="448"/>
      <c r="G145" s="449">
        <v>6</v>
      </c>
      <c r="H145" s="477">
        <v>18</v>
      </c>
      <c r="I145" s="215"/>
      <c r="K145" s="431">
        <v>1</v>
      </c>
      <c r="L145" s="431"/>
      <c r="M145" s="97" t="s">
        <v>426</v>
      </c>
      <c r="N145" s="39">
        <f t="shared" ref="N145:N150" si="33">COUNTIFS($G$128:$G$170,$K145,$E$128:$E$170,"ON",$C$128:$C$170,"&gt;=10",$C$128:$C$170,"&lt;15")</f>
        <v>0</v>
      </c>
      <c r="O145" s="39">
        <f t="shared" ref="O145:O150" si="34">COUNTIFS($G$128:$G$170,$K145,$E$128:$E$170,"CNG",$C$128:$C$170,"&gt;=10",$C$128:$C$170,"&lt;15")</f>
        <v>0</v>
      </c>
      <c r="P145" s="39"/>
      <c r="Q145" s="39"/>
      <c r="S145" s="49"/>
    </row>
    <row r="146" spans="1:19">
      <c r="A146" s="222">
        <f t="shared" si="30"/>
        <v>19</v>
      </c>
      <c r="B146" s="447" t="s">
        <v>501</v>
      </c>
      <c r="C146" s="600">
        <v>8.25</v>
      </c>
      <c r="D146" s="447">
        <v>2021</v>
      </c>
      <c r="E146" s="447" t="s">
        <v>209</v>
      </c>
      <c r="F146" s="448"/>
      <c r="G146" s="449">
        <v>6</v>
      </c>
      <c r="H146" s="477">
        <v>18</v>
      </c>
      <c r="I146" s="215"/>
      <c r="K146" s="431">
        <v>2</v>
      </c>
      <c r="L146" s="431"/>
      <c r="M146" s="97" t="s">
        <v>432</v>
      </c>
      <c r="N146" s="39">
        <f t="shared" si="33"/>
        <v>0</v>
      </c>
      <c r="O146" s="39">
        <f t="shared" si="34"/>
        <v>0</v>
      </c>
      <c r="P146" s="39"/>
      <c r="Q146" s="39"/>
      <c r="S146" s="49"/>
    </row>
    <row r="147" spans="1:19">
      <c r="A147" s="222">
        <f t="shared" si="30"/>
        <v>20</v>
      </c>
      <c r="B147" s="447" t="s">
        <v>501</v>
      </c>
      <c r="C147" s="600">
        <v>8.25</v>
      </c>
      <c r="D147" s="447">
        <v>2021</v>
      </c>
      <c r="E147" s="447" t="s">
        <v>209</v>
      </c>
      <c r="F147" s="448"/>
      <c r="G147" s="449">
        <v>6</v>
      </c>
      <c r="H147" s="477">
        <v>18</v>
      </c>
      <c r="I147" s="215"/>
      <c r="K147" s="431">
        <v>3</v>
      </c>
      <c r="L147" s="431"/>
      <c r="M147" s="97" t="s">
        <v>427</v>
      </c>
      <c r="N147" s="39">
        <f t="shared" si="33"/>
        <v>0</v>
      </c>
      <c r="O147" s="39">
        <f t="shared" si="34"/>
        <v>0</v>
      </c>
      <c r="P147" s="39"/>
      <c r="Q147" s="39"/>
      <c r="S147" s="49"/>
    </row>
    <row r="148" spans="1:19">
      <c r="A148" s="222">
        <f t="shared" si="30"/>
        <v>21</v>
      </c>
      <c r="B148" s="447" t="s">
        <v>501</v>
      </c>
      <c r="C148" s="600">
        <v>8.25</v>
      </c>
      <c r="D148" s="447">
        <v>2021</v>
      </c>
      <c r="E148" s="447" t="s">
        <v>209</v>
      </c>
      <c r="F148" s="448"/>
      <c r="G148" s="449">
        <v>6</v>
      </c>
      <c r="H148" s="477">
        <v>18</v>
      </c>
      <c r="I148" s="215"/>
      <c r="J148" s="88"/>
      <c r="K148" s="431">
        <v>4</v>
      </c>
      <c r="L148" s="431"/>
      <c r="M148" s="97" t="s">
        <v>428</v>
      </c>
      <c r="N148" s="39">
        <f t="shared" si="33"/>
        <v>0</v>
      </c>
      <c r="O148" s="39">
        <f t="shared" si="34"/>
        <v>0</v>
      </c>
      <c r="P148" s="39"/>
      <c r="Q148" s="39"/>
      <c r="S148" s="49"/>
    </row>
    <row r="149" spans="1:19">
      <c r="A149" s="222">
        <f t="shared" si="30"/>
        <v>22</v>
      </c>
      <c r="B149" s="447" t="s">
        <v>501</v>
      </c>
      <c r="C149" s="600">
        <v>8.25</v>
      </c>
      <c r="D149" s="447">
        <v>2021</v>
      </c>
      <c r="E149" s="447" t="s">
        <v>209</v>
      </c>
      <c r="F149" s="448"/>
      <c r="G149" s="449">
        <v>6</v>
      </c>
      <c r="H149" s="477">
        <v>18</v>
      </c>
      <c r="I149" s="215"/>
      <c r="J149" s="88"/>
      <c r="K149" s="431">
        <v>5</v>
      </c>
      <c r="L149" s="431"/>
      <c r="M149" s="97" t="s">
        <v>438</v>
      </c>
      <c r="N149" s="39">
        <f t="shared" si="33"/>
        <v>0</v>
      </c>
      <c r="O149" s="39">
        <f t="shared" si="34"/>
        <v>0</v>
      </c>
      <c r="P149" s="39"/>
      <c r="Q149" s="39"/>
      <c r="S149" s="49"/>
    </row>
    <row r="150" spans="1:19">
      <c r="A150" s="222">
        <f t="shared" si="30"/>
        <v>23</v>
      </c>
      <c r="B150" s="447" t="s">
        <v>501</v>
      </c>
      <c r="C150" s="600">
        <v>8.25</v>
      </c>
      <c r="D150" s="447">
        <v>2021</v>
      </c>
      <c r="E150" s="447" t="s">
        <v>209</v>
      </c>
      <c r="F150" s="448"/>
      <c r="G150" s="449">
        <v>6</v>
      </c>
      <c r="H150" s="477">
        <v>18</v>
      </c>
      <c r="I150" s="215"/>
      <c r="J150" s="88"/>
      <c r="K150" s="431">
        <v>6</v>
      </c>
      <c r="L150" s="431"/>
      <c r="M150" s="97" t="s">
        <v>430</v>
      </c>
      <c r="N150" s="39">
        <f t="shared" si="33"/>
        <v>18</v>
      </c>
      <c r="O150" s="39">
        <f t="shared" si="34"/>
        <v>0</v>
      </c>
      <c r="P150" s="39"/>
      <c r="Q150" s="39"/>
      <c r="S150" s="49"/>
    </row>
    <row r="151" spans="1:19">
      <c r="A151" s="222">
        <f t="shared" si="30"/>
        <v>24</v>
      </c>
      <c r="B151" s="447" t="s">
        <v>502</v>
      </c>
      <c r="C151" s="600">
        <v>10.845000000000001</v>
      </c>
      <c r="D151" s="447">
        <v>2021</v>
      </c>
      <c r="E151" s="447" t="s">
        <v>209</v>
      </c>
      <c r="F151" s="448"/>
      <c r="G151" s="449">
        <v>6</v>
      </c>
      <c r="H151" s="477">
        <v>23</v>
      </c>
      <c r="I151" s="215"/>
      <c r="J151" s="88"/>
      <c r="K151" s="431">
        <v>6</v>
      </c>
      <c r="L151" s="431"/>
      <c r="M151" s="97" t="s">
        <v>439</v>
      </c>
      <c r="N151" s="39">
        <f>COUNTIFS($G$128:$G$170,$K151,$E$128:$E$170,"ON hybryda",$C$128:$C$170,"&gt;=10",$C$128:$C$170,"&lt;15")</f>
        <v>0</v>
      </c>
      <c r="O151" s="39">
        <f>COUNTIFS($G$128:$G$170,$K151,$E$128:$E$170,"CNG Hybryda",$C$128:$C$170,"&gt;=10",$C$128:$C$170,"&lt;15")</f>
        <v>0</v>
      </c>
      <c r="P151" s="39"/>
      <c r="Q151" s="39"/>
      <c r="S151" s="49"/>
    </row>
    <row r="152" spans="1:19">
      <c r="A152" s="222">
        <f t="shared" si="30"/>
        <v>25</v>
      </c>
      <c r="B152" s="447" t="s">
        <v>502</v>
      </c>
      <c r="C152" s="600">
        <v>10.845000000000001</v>
      </c>
      <c r="D152" s="447">
        <v>2021</v>
      </c>
      <c r="E152" s="447" t="s">
        <v>209</v>
      </c>
      <c r="F152" s="448"/>
      <c r="G152" s="449">
        <v>6</v>
      </c>
      <c r="H152" s="477">
        <v>23</v>
      </c>
      <c r="I152" s="215"/>
      <c r="J152" s="88"/>
      <c r="K152" s="431"/>
      <c r="L152" s="431"/>
      <c r="M152" s="97" t="s">
        <v>344</v>
      </c>
      <c r="N152" s="39"/>
      <c r="O152" s="39"/>
      <c r="P152" s="39">
        <f>COUNTIFS($E$128:$E$170,"EL",$C$128:$C$170,"&lt;15")</f>
        <v>0</v>
      </c>
      <c r="Q152" s="39"/>
      <c r="S152" s="49"/>
    </row>
    <row r="153" spans="1:19">
      <c r="A153" s="222">
        <f t="shared" si="30"/>
        <v>26</v>
      </c>
      <c r="B153" s="447" t="s">
        <v>502</v>
      </c>
      <c r="C153" s="600">
        <v>10.845000000000001</v>
      </c>
      <c r="D153" s="447">
        <v>2021</v>
      </c>
      <c r="E153" s="447" t="s">
        <v>209</v>
      </c>
      <c r="F153" s="448"/>
      <c r="G153" s="449">
        <v>6</v>
      </c>
      <c r="H153" s="477">
        <v>23</v>
      </c>
      <c r="I153" s="215"/>
      <c r="J153" s="88"/>
      <c r="M153" s="97" t="s">
        <v>393</v>
      </c>
      <c r="N153" s="97"/>
      <c r="O153" s="97"/>
      <c r="P153" s="97"/>
      <c r="Q153" s="39">
        <f>COUNTIFS($E$128:$E$170,"TROLEJBUS",$C$128:$C$170,"&lt;15")</f>
        <v>0</v>
      </c>
      <c r="S153" s="49"/>
    </row>
    <row r="154" spans="1:19">
      <c r="A154" s="222">
        <f t="shared" si="30"/>
        <v>27</v>
      </c>
      <c r="B154" s="447" t="s">
        <v>502</v>
      </c>
      <c r="C154" s="600">
        <v>10.845000000000001</v>
      </c>
      <c r="D154" s="447">
        <v>2021</v>
      </c>
      <c r="E154" s="447" t="s">
        <v>209</v>
      </c>
      <c r="F154" s="448"/>
      <c r="G154" s="449">
        <v>6</v>
      </c>
      <c r="H154" s="477">
        <v>23</v>
      </c>
      <c r="I154" s="215"/>
      <c r="J154" s="88"/>
      <c r="N154" s="433">
        <f>SUM(N145:N153)</f>
        <v>18</v>
      </c>
      <c r="O154" s="433">
        <f>SUM(O145:O153)</f>
        <v>0</v>
      </c>
      <c r="P154" s="433">
        <f>SUM(P145:P153)</f>
        <v>0</v>
      </c>
      <c r="Q154" s="433">
        <f>SUM(Q145:Q153)</f>
        <v>0</v>
      </c>
      <c r="S154" s="49"/>
    </row>
    <row r="155" spans="1:19">
      <c r="A155" s="222">
        <f t="shared" si="30"/>
        <v>28</v>
      </c>
      <c r="B155" s="447" t="s">
        <v>502</v>
      </c>
      <c r="C155" s="600">
        <v>10.845000000000001</v>
      </c>
      <c r="D155" s="447">
        <v>2021</v>
      </c>
      <c r="E155" s="447" t="s">
        <v>209</v>
      </c>
      <c r="F155" s="448"/>
      <c r="G155" s="449">
        <v>6</v>
      </c>
      <c r="H155" s="477">
        <v>23</v>
      </c>
      <c r="I155" s="215"/>
      <c r="J155" s="88"/>
      <c r="L155" s="4"/>
      <c r="O155" s="49"/>
      <c r="P155" s="49"/>
      <c r="Q155" s="49"/>
      <c r="R155" s="49"/>
      <c r="S155" s="49"/>
    </row>
    <row r="156" spans="1:19">
      <c r="A156" s="222">
        <f t="shared" si="30"/>
        <v>29</v>
      </c>
      <c r="B156" s="447" t="s">
        <v>502</v>
      </c>
      <c r="C156" s="600">
        <v>10.845000000000001</v>
      </c>
      <c r="D156" s="447">
        <v>2021</v>
      </c>
      <c r="E156" s="447" t="s">
        <v>209</v>
      </c>
      <c r="F156" s="448"/>
      <c r="G156" s="449">
        <v>6</v>
      </c>
      <c r="H156" s="477">
        <v>23</v>
      </c>
      <c r="I156" s="215"/>
      <c r="J156" s="88"/>
      <c r="R156" s="49"/>
      <c r="S156" s="49"/>
    </row>
    <row r="157" spans="1:19">
      <c r="A157" s="222">
        <f t="shared" si="30"/>
        <v>30</v>
      </c>
      <c r="B157" s="447" t="s">
        <v>502</v>
      </c>
      <c r="C157" s="600">
        <v>10.845000000000001</v>
      </c>
      <c r="D157" s="447">
        <v>2021</v>
      </c>
      <c r="E157" s="447" t="s">
        <v>209</v>
      </c>
      <c r="F157" s="448"/>
      <c r="G157" s="449">
        <v>6</v>
      </c>
      <c r="H157" s="477">
        <v>23</v>
      </c>
      <c r="I157" s="215"/>
      <c r="J157" s="88"/>
      <c r="K157" s="633" t="s">
        <v>383</v>
      </c>
      <c r="L157" s="633"/>
      <c r="M157" s="13" t="s">
        <v>468</v>
      </c>
      <c r="Q157" s="49"/>
      <c r="R157" s="49"/>
      <c r="S157" s="49"/>
    </row>
    <row r="158" spans="1:19">
      <c r="A158" s="222">
        <f t="shared" si="30"/>
        <v>31</v>
      </c>
      <c r="B158" s="447" t="s">
        <v>502</v>
      </c>
      <c r="C158" s="600">
        <v>10.845000000000001</v>
      </c>
      <c r="D158" s="447">
        <v>2021</v>
      </c>
      <c r="E158" s="447" t="s">
        <v>209</v>
      </c>
      <c r="F158" s="448"/>
      <c r="G158" s="449">
        <v>6</v>
      </c>
      <c r="H158" s="477">
        <v>23</v>
      </c>
      <c r="I158" s="215"/>
      <c r="J158" s="88"/>
      <c r="K158" s="431">
        <v>1</v>
      </c>
      <c r="L158" s="431"/>
      <c r="M158" s="97" t="s">
        <v>426</v>
      </c>
      <c r="N158" s="39">
        <f t="shared" ref="N158:N163" si="35">COUNTIFS($G$128:$G$170,$K158,$E$128:$E$170,"ON",$C$128:$C$170,"&gt;=15")</f>
        <v>0</v>
      </c>
      <c r="O158" s="39">
        <f t="shared" ref="O158:O163" si="36">COUNTIFS($G$128:$G$170,$K158,$E$128:$E$170,"CNG",$C$128:$C$170,"&gt;=15")</f>
        <v>0</v>
      </c>
      <c r="P158" s="39"/>
      <c r="Q158" s="39"/>
      <c r="R158" s="49"/>
      <c r="S158" s="49"/>
    </row>
    <row r="159" spans="1:19">
      <c r="A159" s="222">
        <f t="shared" si="30"/>
        <v>32</v>
      </c>
      <c r="B159" s="447" t="s">
        <v>502</v>
      </c>
      <c r="C159" s="600">
        <v>10.845000000000001</v>
      </c>
      <c r="D159" s="447">
        <v>2021</v>
      </c>
      <c r="E159" s="447" t="s">
        <v>209</v>
      </c>
      <c r="F159" s="448"/>
      <c r="G159" s="449">
        <v>6</v>
      </c>
      <c r="H159" s="477">
        <v>23</v>
      </c>
      <c r="I159" s="215"/>
      <c r="J159" s="88"/>
      <c r="K159" s="431">
        <v>2</v>
      </c>
      <c r="L159" s="431"/>
      <c r="M159" s="97" t="s">
        <v>432</v>
      </c>
      <c r="N159" s="39">
        <f t="shared" si="35"/>
        <v>0</v>
      </c>
      <c r="O159" s="39">
        <f t="shared" si="36"/>
        <v>0</v>
      </c>
      <c r="P159" s="39"/>
      <c r="Q159" s="39"/>
      <c r="R159" s="49"/>
      <c r="S159" s="49"/>
    </row>
    <row r="160" spans="1:19">
      <c r="A160" s="222">
        <f t="shared" si="30"/>
        <v>33</v>
      </c>
      <c r="B160" s="447" t="s">
        <v>502</v>
      </c>
      <c r="C160" s="600">
        <v>10.845000000000001</v>
      </c>
      <c r="D160" s="447">
        <v>2021</v>
      </c>
      <c r="E160" s="447" t="s">
        <v>209</v>
      </c>
      <c r="F160" s="448"/>
      <c r="G160" s="449">
        <v>6</v>
      </c>
      <c r="H160" s="477">
        <v>23</v>
      </c>
      <c r="I160" s="215"/>
      <c r="J160" s="88"/>
      <c r="K160" s="431">
        <v>3</v>
      </c>
      <c r="L160" s="431"/>
      <c r="M160" s="97" t="s">
        <v>427</v>
      </c>
      <c r="N160" s="39">
        <f t="shared" si="35"/>
        <v>0</v>
      </c>
      <c r="O160" s="39">
        <f t="shared" si="36"/>
        <v>0</v>
      </c>
      <c r="P160" s="39"/>
      <c r="Q160" s="39"/>
      <c r="R160" s="49"/>
      <c r="S160" s="49"/>
    </row>
    <row r="161" spans="1:19">
      <c r="A161" s="222">
        <f t="shared" si="30"/>
        <v>34</v>
      </c>
      <c r="B161" s="447" t="s">
        <v>502</v>
      </c>
      <c r="C161" s="600">
        <v>10.845000000000001</v>
      </c>
      <c r="D161" s="447">
        <v>2021</v>
      </c>
      <c r="E161" s="447" t="s">
        <v>209</v>
      </c>
      <c r="F161" s="448"/>
      <c r="G161" s="449">
        <v>6</v>
      </c>
      <c r="H161" s="477">
        <v>23</v>
      </c>
      <c r="I161" s="215"/>
      <c r="J161" s="88"/>
      <c r="K161" s="431">
        <v>4</v>
      </c>
      <c r="L161" s="431"/>
      <c r="M161" s="97" t="s">
        <v>428</v>
      </c>
      <c r="N161" s="39">
        <f t="shared" si="35"/>
        <v>0</v>
      </c>
      <c r="O161" s="39">
        <f t="shared" si="36"/>
        <v>0</v>
      </c>
      <c r="P161" s="39"/>
      <c r="Q161" s="39"/>
      <c r="R161" s="49"/>
      <c r="S161" s="49"/>
    </row>
    <row r="162" spans="1:19">
      <c r="A162" s="222">
        <f t="shared" si="30"/>
        <v>35</v>
      </c>
      <c r="B162" s="447" t="s">
        <v>502</v>
      </c>
      <c r="C162" s="600">
        <v>10.845000000000001</v>
      </c>
      <c r="D162" s="447">
        <v>2021</v>
      </c>
      <c r="E162" s="447" t="s">
        <v>209</v>
      </c>
      <c r="F162" s="448"/>
      <c r="G162" s="449">
        <v>6</v>
      </c>
      <c r="H162" s="477">
        <v>23</v>
      </c>
      <c r="I162" s="215"/>
      <c r="J162" s="88"/>
      <c r="K162" s="431">
        <v>5</v>
      </c>
      <c r="L162" s="431"/>
      <c r="M162" s="97" t="s">
        <v>438</v>
      </c>
      <c r="N162" s="39">
        <f t="shared" si="35"/>
        <v>0</v>
      </c>
      <c r="O162" s="39">
        <f t="shared" si="36"/>
        <v>0</v>
      </c>
      <c r="P162" s="39"/>
      <c r="Q162" s="39"/>
      <c r="R162" s="49"/>
      <c r="S162" s="49"/>
    </row>
    <row r="163" spans="1:19">
      <c r="A163" s="222">
        <f t="shared" si="30"/>
        <v>36</v>
      </c>
      <c r="B163" s="447" t="s">
        <v>502</v>
      </c>
      <c r="C163" s="600">
        <v>10.845000000000001</v>
      </c>
      <c r="D163" s="447">
        <v>2021</v>
      </c>
      <c r="E163" s="447" t="s">
        <v>209</v>
      </c>
      <c r="F163" s="448"/>
      <c r="G163" s="449">
        <v>6</v>
      </c>
      <c r="H163" s="477">
        <v>23</v>
      </c>
      <c r="I163" s="215"/>
      <c r="J163" s="88"/>
      <c r="K163" s="431">
        <v>6</v>
      </c>
      <c r="L163" s="431"/>
      <c r="M163" s="97" t="s">
        <v>430</v>
      </c>
      <c r="N163" s="39">
        <f t="shared" si="35"/>
        <v>0</v>
      </c>
      <c r="O163" s="39">
        <f t="shared" si="36"/>
        <v>0</v>
      </c>
      <c r="P163" s="39"/>
      <c r="Q163" s="39"/>
      <c r="R163" s="49"/>
      <c r="S163" s="49"/>
    </row>
    <row r="164" spans="1:19">
      <c r="A164" s="222">
        <f t="shared" si="30"/>
        <v>37</v>
      </c>
      <c r="B164" s="447" t="s">
        <v>502</v>
      </c>
      <c r="C164" s="600">
        <v>10.845000000000001</v>
      </c>
      <c r="D164" s="447">
        <v>2021</v>
      </c>
      <c r="E164" s="447" t="s">
        <v>209</v>
      </c>
      <c r="F164" s="448"/>
      <c r="G164" s="449">
        <v>6</v>
      </c>
      <c r="H164" s="477">
        <v>23</v>
      </c>
      <c r="I164" s="215"/>
      <c r="J164" s="88"/>
      <c r="K164" s="431">
        <v>6</v>
      </c>
      <c r="L164" s="431"/>
      <c r="M164" s="97" t="s">
        <v>439</v>
      </c>
      <c r="N164" s="39">
        <f>COUNTIFS($G$128:$G$170,$K164,$E$128:$E$170,"ON HYBRYDA",$C$128:$C$170,"&gt;=15")</f>
        <v>0</v>
      </c>
      <c r="O164" s="39">
        <f>COUNTIFS($G$128:$G$170,$K164,$E$128:$E$170,"CNG HYBRYDA",$C$128:$C$170,"&gt;=15")</f>
        <v>0</v>
      </c>
      <c r="P164" s="39"/>
      <c r="Q164" s="39"/>
      <c r="R164" s="49"/>
      <c r="S164" s="49"/>
    </row>
    <row r="165" spans="1:19">
      <c r="A165" s="222">
        <f t="shared" si="30"/>
        <v>38</v>
      </c>
      <c r="B165" s="447" t="s">
        <v>502</v>
      </c>
      <c r="C165" s="600">
        <v>10.845000000000001</v>
      </c>
      <c r="D165" s="447">
        <v>2021</v>
      </c>
      <c r="E165" s="447" t="s">
        <v>209</v>
      </c>
      <c r="F165" s="448"/>
      <c r="G165" s="449">
        <v>6</v>
      </c>
      <c r="H165" s="477">
        <v>23</v>
      </c>
      <c r="I165" s="215"/>
      <c r="J165" s="88"/>
      <c r="K165" s="431"/>
      <c r="L165" s="431"/>
      <c r="M165" s="97" t="s">
        <v>344</v>
      </c>
      <c r="N165" s="39">
        <f>COUNTIFS($G$128:$G$170,$K165,$E$128:$E$170,"ON HYBRYDA",$C$128:$C$170,"&gt;=15")</f>
        <v>0</v>
      </c>
      <c r="O165" s="39">
        <f>COUNTIFS($G$128:$G$170,$K165,$E$128:$E$170,"CNG HYBRYDA",$C$128:$C$170,"&gt;=15")</f>
        <v>0</v>
      </c>
      <c r="P165" s="39">
        <f>COUNTIFS($E$128:$E$170,"EL",$C$128:$C$170,"&gt;=15")</f>
        <v>0</v>
      </c>
      <c r="Q165" s="39"/>
      <c r="R165" s="49"/>
      <c r="S165" s="49"/>
    </row>
    <row r="166" spans="1:19">
      <c r="A166" s="222">
        <f t="shared" si="30"/>
        <v>39</v>
      </c>
      <c r="B166" s="447" t="s">
        <v>502</v>
      </c>
      <c r="C166" s="600">
        <v>10.845000000000001</v>
      </c>
      <c r="D166" s="447">
        <v>2021</v>
      </c>
      <c r="E166" s="447" t="s">
        <v>209</v>
      </c>
      <c r="F166" s="448"/>
      <c r="G166" s="449">
        <v>6</v>
      </c>
      <c r="H166" s="477">
        <v>23</v>
      </c>
      <c r="I166" s="215"/>
      <c r="J166" s="88"/>
      <c r="L166" s="4"/>
      <c r="M166" s="97" t="s">
        <v>393</v>
      </c>
      <c r="N166" s="97"/>
      <c r="O166" s="97"/>
      <c r="P166" s="97"/>
      <c r="Q166" s="39">
        <f>COUNTIFS($E$128:$E$170,"TROLEJBUS",$C$128:$C$170,"&gt;=15")</f>
        <v>0</v>
      </c>
      <c r="R166" s="49"/>
      <c r="S166" s="49"/>
    </row>
    <row r="167" spans="1:19">
      <c r="A167" s="222">
        <f t="shared" si="30"/>
        <v>40</v>
      </c>
      <c r="B167" s="447" t="s">
        <v>502</v>
      </c>
      <c r="C167" s="600">
        <v>10.845000000000001</v>
      </c>
      <c r="D167" s="447">
        <v>2021</v>
      </c>
      <c r="E167" s="447" t="s">
        <v>209</v>
      </c>
      <c r="F167" s="448"/>
      <c r="G167" s="449">
        <v>6</v>
      </c>
      <c r="H167" s="477">
        <v>23</v>
      </c>
      <c r="I167" s="215"/>
      <c r="J167" s="88"/>
      <c r="L167" s="4"/>
      <c r="R167" s="49"/>
      <c r="S167" s="49"/>
    </row>
    <row r="168" spans="1:19">
      <c r="A168" s="222">
        <f t="shared" si="30"/>
        <v>41</v>
      </c>
      <c r="B168" s="447" t="s">
        <v>502</v>
      </c>
      <c r="C168" s="600">
        <v>10.845000000000001</v>
      </c>
      <c r="D168" s="447">
        <v>2021</v>
      </c>
      <c r="E168" s="447" t="s">
        <v>209</v>
      </c>
      <c r="F168" s="448"/>
      <c r="G168" s="449">
        <v>6</v>
      </c>
      <c r="H168" s="477">
        <v>23</v>
      </c>
      <c r="I168" s="215"/>
      <c r="J168" s="88"/>
      <c r="L168" s="4"/>
      <c r="N168" s="433">
        <f>SUM(N158:N166)</f>
        <v>0</v>
      </c>
      <c r="O168" s="433">
        <f t="shared" ref="O168:P168" si="37">SUM(O158:O166)</f>
        <v>0</v>
      </c>
      <c r="P168" s="433">
        <f t="shared" si="37"/>
        <v>0</v>
      </c>
      <c r="Q168" s="433">
        <f>SUM(Q158:Q166)</f>
        <v>0</v>
      </c>
      <c r="R168" s="49"/>
      <c r="S168" s="49"/>
    </row>
    <row r="169" spans="1:19">
      <c r="A169" s="222"/>
      <c r="B169" s="447"/>
      <c r="C169" s="215"/>
      <c r="D169" s="447"/>
      <c r="E169" s="447"/>
      <c r="F169" s="448"/>
      <c r="G169" s="449"/>
      <c r="H169" s="477"/>
      <c r="I169" s="215"/>
      <c r="J169" s="88"/>
      <c r="L169" s="4"/>
      <c r="M169" s="432" t="s">
        <v>341</v>
      </c>
      <c r="N169" s="434">
        <f>N140+N154+N168</f>
        <v>41</v>
      </c>
      <c r="O169" s="434">
        <f t="shared" ref="O169:Q169" si="38">O140+O154+O168</f>
        <v>0</v>
      </c>
      <c r="P169" s="434">
        <f t="shared" si="38"/>
        <v>0</v>
      </c>
      <c r="Q169" s="434">
        <f t="shared" si="38"/>
        <v>0</v>
      </c>
      <c r="R169" s="468">
        <f>N169+O169+P169+Q169</f>
        <v>41</v>
      </c>
      <c r="S169" s="49"/>
    </row>
    <row r="170" spans="1:19">
      <c r="A170" s="4"/>
      <c r="B170" s="543"/>
      <c r="C170" s="4"/>
      <c r="D170" s="543"/>
      <c r="E170" s="543"/>
      <c r="F170" s="544"/>
      <c r="G170" s="545"/>
      <c r="H170" s="546"/>
      <c r="I170" s="4"/>
      <c r="J170" s="88"/>
      <c r="L170" s="4"/>
      <c r="O170" s="49"/>
      <c r="P170" s="49"/>
      <c r="Q170" s="49"/>
      <c r="R170" s="49"/>
      <c r="S170" s="49"/>
    </row>
    <row r="171" spans="1:19" s="6" customFormat="1">
      <c r="B171" s="4"/>
      <c r="C171" s="200"/>
      <c r="D171" s="288"/>
      <c r="E171" s="129"/>
      <c r="F171" s="49"/>
      <c r="G171" s="198"/>
      <c r="H171" s="208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</row>
    <row r="172" spans="1:19">
      <c r="A172" s="269" t="s">
        <v>22</v>
      </c>
      <c r="B172" s="95" t="s">
        <v>135</v>
      </c>
      <c r="C172" s="200"/>
      <c r="D172" s="288"/>
      <c r="E172" s="129"/>
      <c r="F172" s="49"/>
      <c r="G172" s="198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</row>
    <row r="173" spans="1:19" s="6" customFormat="1">
      <c r="A173" s="271"/>
      <c r="B173" s="271"/>
      <c r="C173" s="200"/>
      <c r="D173" s="288"/>
      <c r="E173" s="129"/>
      <c r="F173" s="49"/>
      <c r="G173" s="198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</row>
    <row r="174" spans="1:19" s="6" customFormat="1">
      <c r="B174" s="268" t="s">
        <v>407</v>
      </c>
      <c r="C174" s="265" t="s">
        <v>136</v>
      </c>
      <c r="D174" s="291" t="s">
        <v>493</v>
      </c>
      <c r="E174" s="216">
        <f>D233</f>
        <v>2198000</v>
      </c>
      <c r="F174" s="49"/>
      <c r="G174" s="341"/>
      <c r="H174" s="13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</row>
    <row r="175" spans="1:19">
      <c r="A175" s="96"/>
      <c r="B175" s="268" t="s">
        <v>270</v>
      </c>
      <c r="C175" s="265" t="s">
        <v>137</v>
      </c>
      <c r="D175" s="464" t="s">
        <v>476</v>
      </c>
      <c r="E175" s="138">
        <v>3.7</v>
      </c>
      <c r="F175" s="289"/>
      <c r="G175" s="341"/>
      <c r="H175" s="139"/>
      <c r="I175" s="288"/>
      <c r="J175" s="49"/>
      <c r="K175" s="49"/>
      <c r="L175" s="49"/>
      <c r="M175" s="49"/>
      <c r="N175" s="49"/>
      <c r="O175" s="49"/>
      <c r="P175" s="49"/>
      <c r="Q175" s="49"/>
      <c r="R175" s="49"/>
      <c r="S175" s="49"/>
    </row>
    <row r="176" spans="1:19">
      <c r="A176" s="96"/>
      <c r="B176" s="268" t="s">
        <v>271</v>
      </c>
      <c r="C176" s="265" t="s">
        <v>138</v>
      </c>
      <c r="D176" s="291" t="s">
        <v>493</v>
      </c>
      <c r="E176" s="150">
        <v>0.55300000000000005</v>
      </c>
      <c r="F176" s="288"/>
      <c r="G176" s="12"/>
      <c r="H176" s="43"/>
      <c r="I176" s="288"/>
      <c r="J176" s="49"/>
      <c r="K176" s="49"/>
      <c r="L176" s="49"/>
      <c r="M176" s="49"/>
      <c r="N176" s="49"/>
      <c r="O176" s="49"/>
      <c r="P176" s="49"/>
      <c r="Q176" s="49"/>
      <c r="R176" s="49"/>
      <c r="S176" s="49"/>
    </row>
    <row r="177" spans="1:19" ht="14.45" customHeight="1">
      <c r="A177" s="96"/>
      <c r="B177" s="268" t="s">
        <v>284</v>
      </c>
      <c r="C177" s="265" t="s">
        <v>67</v>
      </c>
      <c r="D177" s="291" t="s">
        <v>506</v>
      </c>
      <c r="E177" s="138">
        <f>(E216+E214+E215)/E174</f>
        <v>0.19273033181398583</v>
      </c>
      <c r="F177" s="288"/>
      <c r="G177" s="288"/>
      <c r="H177" s="288"/>
      <c r="I177" s="288"/>
      <c r="J177" s="49"/>
      <c r="K177" s="49"/>
      <c r="L177" s="49"/>
      <c r="M177" s="49"/>
      <c r="N177" s="49"/>
      <c r="O177" s="49"/>
      <c r="P177" s="49"/>
      <c r="Q177" s="49"/>
      <c r="R177" s="49"/>
      <c r="S177" s="49"/>
    </row>
    <row r="178" spans="1:19" ht="16.899999999999999" customHeight="1">
      <c r="A178" s="96"/>
      <c r="B178" s="268" t="s">
        <v>285</v>
      </c>
      <c r="C178" s="265" t="s">
        <v>67</v>
      </c>
      <c r="D178" s="291" t="s">
        <v>506</v>
      </c>
      <c r="E178" s="138">
        <f>E217/E174</f>
        <v>0.3099796977160782</v>
      </c>
      <c r="F178" s="290"/>
      <c r="G178" s="288"/>
      <c r="H178" s="288"/>
      <c r="I178" s="288"/>
      <c r="J178" s="49"/>
      <c r="K178" s="49"/>
      <c r="L178" s="49"/>
      <c r="M178" s="49"/>
      <c r="N178" s="49"/>
      <c r="O178" s="49"/>
      <c r="P178" s="49"/>
      <c r="Q178" s="49"/>
      <c r="R178" s="49"/>
      <c r="S178" s="49"/>
    </row>
    <row r="179" spans="1:19">
      <c r="A179" s="96"/>
      <c r="B179" s="268"/>
      <c r="C179" s="265"/>
      <c r="D179" s="291"/>
      <c r="E179" s="1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</row>
    <row r="180" spans="1:19" ht="24">
      <c r="A180" s="96"/>
      <c r="B180" s="463" t="s">
        <v>448</v>
      </c>
      <c r="C180" s="265" t="s">
        <v>90</v>
      </c>
      <c r="D180" s="291" t="s">
        <v>259</v>
      </c>
      <c r="E180" s="138">
        <v>0.7</v>
      </c>
      <c r="F180" s="288"/>
      <c r="G180" s="288"/>
      <c r="H180" s="288"/>
      <c r="I180" s="288"/>
      <c r="J180" s="49"/>
      <c r="K180" s="49"/>
      <c r="L180" s="49"/>
      <c r="M180" s="49"/>
      <c r="N180" s="49"/>
      <c r="O180" s="49"/>
      <c r="P180" s="49"/>
      <c r="Q180" s="49"/>
      <c r="R180" s="49"/>
      <c r="S180" s="49"/>
    </row>
    <row r="181" spans="1:19" ht="26.25" customHeight="1">
      <c r="A181" s="96"/>
      <c r="B181" s="463" t="s">
        <v>487</v>
      </c>
      <c r="C181" s="265" t="s">
        <v>90</v>
      </c>
      <c r="D181" s="465" t="s">
        <v>400</v>
      </c>
      <c r="E181" s="138">
        <v>1.1499999999999999</v>
      </c>
      <c r="F181" s="288"/>
      <c r="G181" s="288"/>
      <c r="H181" s="288"/>
      <c r="I181" s="288"/>
      <c r="J181" s="49"/>
      <c r="K181" s="49"/>
      <c r="L181" s="49"/>
      <c r="M181" s="49"/>
      <c r="N181" s="49"/>
      <c r="O181" s="49"/>
      <c r="P181" s="49"/>
      <c r="Q181" s="49"/>
      <c r="R181" s="49"/>
      <c r="S181" s="49"/>
    </row>
    <row r="182" spans="1:19" ht="23.45" customHeight="1">
      <c r="A182" s="96"/>
      <c r="B182" s="463" t="s">
        <v>296</v>
      </c>
      <c r="C182" s="265" t="s">
        <v>1</v>
      </c>
      <c r="D182" s="465" t="s">
        <v>297</v>
      </c>
      <c r="E182" s="135">
        <v>0.05</v>
      </c>
      <c r="F182" s="288"/>
      <c r="G182" s="288"/>
      <c r="H182" s="288"/>
      <c r="I182" s="288"/>
      <c r="J182" s="49"/>
      <c r="K182" s="49"/>
      <c r="L182" s="49"/>
      <c r="M182" s="49"/>
      <c r="N182" s="49"/>
      <c r="O182" s="49"/>
      <c r="P182" s="49"/>
      <c r="Q182" s="49"/>
      <c r="R182" s="49"/>
      <c r="S182" s="49"/>
    </row>
    <row r="183" spans="1:19">
      <c r="A183" s="96"/>
      <c r="B183" s="268"/>
      <c r="C183" s="265"/>
      <c r="D183" s="291"/>
      <c r="E183" s="146"/>
      <c r="F183" s="288"/>
      <c r="G183" s="288"/>
      <c r="H183" s="288"/>
      <c r="I183" s="288"/>
      <c r="J183" s="49"/>
      <c r="K183" s="49"/>
      <c r="L183" s="49"/>
      <c r="M183" s="49"/>
      <c r="N183" s="49"/>
      <c r="O183" s="49"/>
      <c r="P183" s="49"/>
      <c r="Q183" s="49"/>
      <c r="R183" s="49"/>
      <c r="S183" s="49"/>
    </row>
    <row r="184" spans="1:19">
      <c r="A184" s="96"/>
      <c r="B184" s="268" t="s">
        <v>483</v>
      </c>
      <c r="C184" s="265" t="s">
        <v>29</v>
      </c>
      <c r="D184" s="291" t="s">
        <v>494</v>
      </c>
      <c r="E184" s="138">
        <v>1.05</v>
      </c>
      <c r="F184" s="288"/>
      <c r="G184" s="288"/>
      <c r="H184" s="288"/>
      <c r="I184" s="288"/>
      <c r="J184" s="49"/>
      <c r="K184" s="49"/>
      <c r="L184" s="49"/>
      <c r="M184" s="49"/>
      <c r="N184" s="49"/>
      <c r="O184" s="49"/>
      <c r="P184" s="49"/>
      <c r="Q184" s="49"/>
      <c r="R184" s="49"/>
      <c r="S184" s="49"/>
    </row>
    <row r="185" spans="1:19">
      <c r="A185" s="96"/>
      <c r="B185" s="268" t="s">
        <v>467</v>
      </c>
      <c r="C185" s="265" t="s">
        <v>29</v>
      </c>
      <c r="D185" s="291" t="s">
        <v>494</v>
      </c>
      <c r="E185" s="138">
        <v>1.3</v>
      </c>
      <c r="F185" s="288"/>
      <c r="G185" s="288"/>
      <c r="H185" s="288"/>
      <c r="I185" s="288"/>
      <c r="J185" s="49"/>
      <c r="K185" s="49"/>
      <c r="L185" s="49"/>
      <c r="M185" s="49"/>
      <c r="N185" s="49"/>
      <c r="O185" s="49"/>
      <c r="P185" s="49"/>
      <c r="Q185" s="49"/>
      <c r="R185" s="49"/>
      <c r="S185" s="49"/>
    </row>
    <row r="186" spans="1:19">
      <c r="A186" s="96"/>
      <c r="B186" s="130" t="s">
        <v>399</v>
      </c>
      <c r="C186" s="148" t="s">
        <v>397</v>
      </c>
      <c r="D186" s="480" t="s">
        <v>398</v>
      </c>
      <c r="E186" s="138">
        <v>11.4</v>
      </c>
      <c r="F186" s="288"/>
      <c r="G186" s="288"/>
      <c r="H186" s="288"/>
      <c r="I186" s="288"/>
      <c r="J186" s="49"/>
      <c r="K186" s="49"/>
      <c r="L186" s="49"/>
      <c r="M186" s="49"/>
      <c r="N186" s="49"/>
      <c r="O186" s="49"/>
      <c r="P186" s="49"/>
      <c r="Q186" s="49"/>
      <c r="R186" s="49"/>
      <c r="S186" s="49"/>
    </row>
    <row r="187" spans="1:19" ht="36">
      <c r="A187" s="96"/>
      <c r="B187" s="268" t="s">
        <v>488</v>
      </c>
      <c r="C187" s="265" t="s">
        <v>139</v>
      </c>
      <c r="D187" s="465" t="s">
        <v>489</v>
      </c>
      <c r="E187" s="134">
        <f>ROUND(160*120*3.95,-3)</f>
        <v>76000</v>
      </c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</row>
    <row r="188" spans="1:19" ht="36">
      <c r="A188" s="96"/>
      <c r="B188" s="268" t="s">
        <v>490</v>
      </c>
      <c r="C188" s="265" t="s">
        <v>139</v>
      </c>
      <c r="D188" s="465" t="s">
        <v>491</v>
      </c>
      <c r="E188" s="134">
        <f>ROUND(120*350*3.95,-3)</f>
        <v>166000</v>
      </c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</row>
    <row r="189" spans="1:19" s="6" customFormat="1">
      <c r="A189" s="114"/>
      <c r="B189" s="481"/>
      <c r="C189" s="482"/>
      <c r="D189" s="483"/>
      <c r="E189" s="157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</row>
    <row r="190" spans="1:19" ht="24">
      <c r="A190" s="96"/>
      <c r="B190" s="268" t="s">
        <v>370</v>
      </c>
      <c r="C190" s="265" t="s">
        <v>1</v>
      </c>
      <c r="D190" s="465" t="s">
        <v>262</v>
      </c>
      <c r="E190" s="135">
        <v>2.5000000000000001E-2</v>
      </c>
      <c r="F190" s="165">
        <f>1/E190</f>
        <v>40</v>
      </c>
      <c r="G190" s="185" t="s">
        <v>59</v>
      </c>
      <c r="H190" s="197"/>
      <c r="I190" s="197"/>
      <c r="J190" s="197"/>
      <c r="K190" s="49"/>
      <c r="L190" s="49"/>
      <c r="M190" s="49"/>
      <c r="N190" s="49"/>
      <c r="O190" s="49"/>
      <c r="P190" s="49"/>
      <c r="Q190" s="49"/>
      <c r="R190" s="49"/>
      <c r="S190" s="49"/>
    </row>
    <row r="191" spans="1:19" ht="24">
      <c r="A191" s="96"/>
      <c r="B191" s="268" t="s">
        <v>447</v>
      </c>
      <c r="C191" s="265" t="s">
        <v>1</v>
      </c>
      <c r="D191" s="465" t="s">
        <v>262</v>
      </c>
      <c r="E191" s="135">
        <f>1/F191</f>
        <v>6.6666666666666666E-2</v>
      </c>
      <c r="F191" s="165">
        <v>15</v>
      </c>
      <c r="G191" s="185" t="s">
        <v>59</v>
      </c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</row>
    <row r="192" spans="1:19" ht="24">
      <c r="A192" s="96"/>
      <c r="B192" s="268" t="s">
        <v>440</v>
      </c>
      <c r="C192" s="265" t="s">
        <v>1</v>
      </c>
      <c r="D192" s="465" t="s">
        <v>262</v>
      </c>
      <c r="E192" s="135">
        <f>1/F192</f>
        <v>7.6923076923076927E-2</v>
      </c>
      <c r="F192" s="165">
        <v>13</v>
      </c>
      <c r="G192" s="185" t="s">
        <v>59</v>
      </c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</row>
    <row r="193" spans="1:151" ht="24">
      <c r="A193" s="96"/>
      <c r="B193" s="268" t="s">
        <v>164</v>
      </c>
      <c r="C193" s="265" t="s">
        <v>1</v>
      </c>
      <c r="D193" s="465" t="s">
        <v>262</v>
      </c>
      <c r="E193" s="135">
        <v>6.6666666666666666E-2</v>
      </c>
      <c r="F193" s="165">
        <f>1/E193</f>
        <v>15</v>
      </c>
      <c r="G193" s="185" t="s">
        <v>59</v>
      </c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</row>
    <row r="194" spans="1:151" s="12" customFormat="1" ht="17.45" customHeight="1">
      <c r="B194" s="268" t="s">
        <v>256</v>
      </c>
      <c r="C194" s="265" t="s">
        <v>28</v>
      </c>
      <c r="D194" s="291" t="s">
        <v>401</v>
      </c>
      <c r="E194" s="135"/>
      <c r="F194" s="165">
        <v>8</v>
      </c>
      <c r="G194" s="185" t="s">
        <v>59</v>
      </c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</row>
    <row r="195" spans="1:151" s="4" customFormat="1" ht="13.5" customHeight="1">
      <c r="B195" s="481"/>
      <c r="C195" s="482"/>
      <c r="D195" s="483"/>
      <c r="E195" s="341"/>
      <c r="F195" s="342"/>
      <c r="G195" s="343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</row>
    <row r="196" spans="1:151" s="12" customFormat="1" ht="24">
      <c r="B196" s="268" t="s">
        <v>288</v>
      </c>
      <c r="C196" s="265" t="s">
        <v>366</v>
      </c>
      <c r="D196" s="465" t="s">
        <v>365</v>
      </c>
      <c r="E196" s="134">
        <v>2000</v>
      </c>
      <c r="F196" s="342"/>
      <c r="G196" s="343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</row>
    <row r="197" spans="1:151" s="12" customFormat="1" ht="24">
      <c r="B197" s="268" t="s">
        <v>367</v>
      </c>
      <c r="C197" s="265" t="s">
        <v>366</v>
      </c>
      <c r="D197" s="465" t="s">
        <v>365</v>
      </c>
      <c r="E197" s="134">
        <v>6000</v>
      </c>
      <c r="F197" s="342"/>
      <c r="G197" s="343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</row>
    <row r="198" spans="1:151" s="4" customFormat="1">
      <c r="B198" s="481"/>
      <c r="C198" s="482"/>
      <c r="D198" s="534"/>
      <c r="E198" s="139"/>
      <c r="F198" s="342"/>
      <c r="G198" s="343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</row>
    <row r="199" spans="1:151" s="12" customFormat="1">
      <c r="B199" s="268" t="s">
        <v>481</v>
      </c>
      <c r="C199" s="265" t="s">
        <v>46</v>
      </c>
      <c r="D199" s="465" t="s">
        <v>424</v>
      </c>
      <c r="E199" s="134">
        <v>250000</v>
      </c>
      <c r="F199" s="342"/>
      <c r="G199" s="343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</row>
    <row r="200" spans="1:151" s="12" customFormat="1">
      <c r="B200" s="268" t="s">
        <v>508</v>
      </c>
      <c r="C200" s="265" t="s">
        <v>46</v>
      </c>
      <c r="D200" s="465" t="s">
        <v>424</v>
      </c>
      <c r="E200" s="134">
        <v>300000</v>
      </c>
      <c r="F200" s="342"/>
      <c r="G200" s="343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</row>
    <row r="201" spans="1:151" s="12" customFormat="1">
      <c r="B201" s="268" t="s">
        <v>482</v>
      </c>
      <c r="C201" s="265" t="s">
        <v>46</v>
      </c>
      <c r="D201" s="465" t="s">
        <v>424</v>
      </c>
      <c r="E201" s="134">
        <v>590000</v>
      </c>
      <c r="F201" s="342"/>
      <c r="G201" s="343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</row>
    <row r="202" spans="1:151" s="12" customFormat="1">
      <c r="B202" s="268" t="s">
        <v>509</v>
      </c>
      <c r="C202" s="265" t="s">
        <v>46</v>
      </c>
      <c r="D202" s="465" t="s">
        <v>424</v>
      </c>
      <c r="E202" s="134">
        <v>900000</v>
      </c>
      <c r="F202" s="342"/>
      <c r="G202" s="343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</row>
    <row r="203" spans="1:151" s="12" customFormat="1">
      <c r="B203" s="268" t="s">
        <v>497</v>
      </c>
      <c r="C203" s="265" t="s">
        <v>46</v>
      </c>
      <c r="D203" s="465" t="s">
        <v>424</v>
      </c>
      <c r="E203" s="134">
        <v>2180000</v>
      </c>
      <c r="F203" s="342"/>
      <c r="G203" s="343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</row>
    <row r="204" spans="1:151" s="4" customFormat="1" ht="15.75" customHeight="1">
      <c r="B204" s="268" t="s">
        <v>496</v>
      </c>
      <c r="C204" s="265" t="s">
        <v>46</v>
      </c>
      <c r="D204" s="465" t="s">
        <v>424</v>
      </c>
      <c r="E204" s="134">
        <v>2640000</v>
      </c>
      <c r="F204" s="15"/>
      <c r="G204" s="15"/>
      <c r="H204" s="38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AI204" s="16"/>
      <c r="AQ204" s="3"/>
      <c r="AR204" s="3"/>
      <c r="AS204" s="3"/>
      <c r="AT204" s="3"/>
      <c r="AU204" s="3"/>
      <c r="AV204" s="3"/>
      <c r="AW204" s="3"/>
    </row>
    <row r="205" spans="1:151" s="4" customFormat="1" ht="15.75" customHeight="1">
      <c r="B205" s="14"/>
      <c r="C205" s="14"/>
      <c r="D205" s="14"/>
      <c r="E205" s="15"/>
      <c r="F205" s="15"/>
      <c r="G205" s="15"/>
      <c r="H205" s="38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AI205" s="16"/>
      <c r="AQ205" s="3"/>
      <c r="AR205" s="3"/>
      <c r="AS205" s="3"/>
      <c r="AT205" s="3"/>
      <c r="AU205" s="3"/>
      <c r="AV205" s="3"/>
      <c r="AW205" s="3"/>
    </row>
    <row r="206" spans="1:151" s="18" customFormat="1">
      <c r="A206" s="269" t="s">
        <v>23</v>
      </c>
      <c r="B206" s="95" t="s">
        <v>450</v>
      </c>
      <c r="C206" s="95"/>
      <c r="D206" s="95"/>
      <c r="E206" s="95"/>
      <c r="F206" s="271"/>
      <c r="G206" s="4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4"/>
      <c r="U206" s="4"/>
      <c r="V206" s="4"/>
      <c r="W206" s="4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</row>
    <row r="207" spans="1:151" s="6" customFormat="1">
      <c r="A207" s="271"/>
      <c r="B207" s="271"/>
      <c r="C207" s="271"/>
      <c r="D207" s="271"/>
      <c r="E207" s="492">
        <v>2021</v>
      </c>
      <c r="F207" s="494"/>
      <c r="G207" s="494"/>
      <c r="H207" s="494"/>
      <c r="I207" s="494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4"/>
      <c r="U207" s="4"/>
      <c r="V207" s="4"/>
      <c r="W207" s="4"/>
    </row>
    <row r="208" spans="1:151" ht="25.5" customHeight="1">
      <c r="B208" s="91" t="s">
        <v>6</v>
      </c>
      <c r="C208" s="132"/>
      <c r="D208" s="132"/>
      <c r="E208" s="498" t="s">
        <v>341</v>
      </c>
      <c r="F208" s="87"/>
      <c r="G208" s="87"/>
      <c r="H208" s="87"/>
      <c r="I208" s="495"/>
      <c r="J208" s="87"/>
      <c r="K208" s="87"/>
      <c r="L208" s="87"/>
      <c r="M208" s="87"/>
      <c r="N208" s="87"/>
      <c r="O208" s="87"/>
      <c r="P208" s="87"/>
      <c r="Q208" s="87"/>
      <c r="R208" s="87"/>
      <c r="S208" s="87"/>
      <c r="T208" s="4"/>
      <c r="U208" s="4"/>
      <c r="V208" s="4"/>
      <c r="W208" s="4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</row>
    <row r="209" spans="1:151" outlineLevel="1">
      <c r="B209" s="210" t="s">
        <v>10</v>
      </c>
      <c r="C209" s="148" t="s">
        <v>170</v>
      </c>
      <c r="D209" s="634" t="s">
        <v>507</v>
      </c>
      <c r="E209" s="532">
        <f t="shared" ref="E209:E220" si="39">F209*$G$222</f>
        <v>5097501.7389051178</v>
      </c>
      <c r="F209" s="603">
        <v>0.36842840594003368</v>
      </c>
      <c r="G209" s="496"/>
      <c r="H209" s="496"/>
      <c r="I209" s="496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4"/>
      <c r="U209" s="4"/>
      <c r="V209" s="4"/>
      <c r="W209" s="4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</row>
    <row r="210" spans="1:151" outlineLevel="2">
      <c r="A210" s="96"/>
      <c r="B210" s="210" t="s">
        <v>347</v>
      </c>
      <c r="C210" s="148" t="s">
        <v>170</v>
      </c>
      <c r="D210" s="635"/>
      <c r="E210" s="532">
        <f t="shared" si="39"/>
        <v>1372905.9020110394</v>
      </c>
      <c r="F210" s="603">
        <v>9.9228516024446684E-2</v>
      </c>
      <c r="G210" s="496"/>
      <c r="H210" s="496"/>
      <c r="I210" s="496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4"/>
      <c r="U210" s="4"/>
      <c r="V210" s="4"/>
      <c r="W210" s="4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</row>
    <row r="211" spans="1:151" outlineLevel="2">
      <c r="A211" s="96"/>
      <c r="B211" s="210" t="s">
        <v>210</v>
      </c>
      <c r="C211" s="148" t="s">
        <v>170</v>
      </c>
      <c r="D211" s="635"/>
      <c r="E211" s="532">
        <f t="shared" si="39"/>
        <v>1494126.8083115781</v>
      </c>
      <c r="F211" s="603">
        <f>9.1994234605195%+0.3778113513403%+1.2217562715006%</f>
        <v>0.107989910833604</v>
      </c>
      <c r="G211" s="496"/>
      <c r="H211" s="496"/>
      <c r="I211" s="496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4"/>
      <c r="U211" s="4"/>
      <c r="V211" s="4"/>
      <c r="W211" s="4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</row>
    <row r="212" spans="1:151" outlineLevel="2">
      <c r="A212" s="96"/>
      <c r="B212" s="210" t="s">
        <v>211</v>
      </c>
      <c r="C212" s="148" t="s">
        <v>170</v>
      </c>
      <c r="D212" s="635"/>
      <c r="E212" s="532">
        <f t="shared" si="39"/>
        <v>1691748.5453591575</v>
      </c>
      <c r="F212" s="603">
        <v>0.12227327262313401</v>
      </c>
      <c r="G212" s="496"/>
      <c r="H212" s="496"/>
      <c r="I212" s="496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4"/>
      <c r="U212" s="4"/>
      <c r="V212" s="4"/>
      <c r="W212" s="4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</row>
    <row r="213" spans="1:151" s="13" customFormat="1" outlineLevel="1">
      <c r="A213" s="108"/>
      <c r="B213" s="210" t="s">
        <v>212</v>
      </c>
      <c r="C213" s="148" t="s">
        <v>170</v>
      </c>
      <c r="D213" s="635"/>
      <c r="E213" s="532">
        <f t="shared" si="39"/>
        <v>138358</v>
      </c>
      <c r="F213" s="603">
        <v>0.01</v>
      </c>
      <c r="G213" s="496"/>
      <c r="H213" s="496"/>
      <c r="I213" s="496"/>
      <c r="J213" s="92"/>
      <c r="K213" s="92"/>
      <c r="L213" s="92"/>
      <c r="M213" s="92"/>
      <c r="N213" s="92"/>
      <c r="O213" s="92"/>
      <c r="P213" s="92"/>
      <c r="Q213" s="92"/>
      <c r="R213" s="92"/>
      <c r="S213" s="92"/>
      <c r="T213" s="164"/>
      <c r="U213" s="164"/>
      <c r="V213" s="164"/>
      <c r="W213" s="164"/>
      <c r="X213" s="33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3"/>
      <c r="BB213" s="33"/>
      <c r="BC213" s="33"/>
      <c r="BD213" s="33"/>
      <c r="BE213" s="33"/>
      <c r="BF213" s="33"/>
      <c r="BG213" s="33"/>
      <c r="BH213" s="33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  <c r="BU213" s="33"/>
      <c r="BV213" s="33"/>
      <c r="BW213" s="33"/>
      <c r="BX213" s="33"/>
      <c r="BY213" s="33"/>
      <c r="BZ213" s="33"/>
      <c r="CA213" s="33"/>
      <c r="CB213" s="33"/>
      <c r="CC213" s="33"/>
      <c r="CD213" s="33"/>
      <c r="CE213" s="33"/>
      <c r="CF213" s="33"/>
      <c r="CG213" s="33"/>
      <c r="CH213" s="33"/>
      <c r="CI213" s="33"/>
      <c r="CJ213" s="33"/>
      <c r="CK213" s="33"/>
      <c r="CL213" s="33"/>
      <c r="CM213" s="33"/>
      <c r="CN213" s="33"/>
      <c r="CO213" s="33"/>
      <c r="CP213" s="33"/>
      <c r="CQ213" s="33"/>
      <c r="CR213" s="33"/>
      <c r="CS213" s="33"/>
      <c r="CT213" s="33"/>
      <c r="CU213" s="33"/>
      <c r="CV213" s="33"/>
      <c r="CW213" s="33"/>
      <c r="CX213" s="33"/>
      <c r="CY213" s="33"/>
      <c r="CZ213" s="33"/>
      <c r="DA213" s="33"/>
      <c r="DB213" s="33"/>
      <c r="DC213" s="33"/>
      <c r="DD213" s="33"/>
      <c r="DE213" s="33"/>
      <c r="DF213" s="33"/>
      <c r="DG213" s="33"/>
      <c r="DH213" s="33"/>
      <c r="DI213" s="33"/>
      <c r="DJ213" s="33"/>
      <c r="DK213" s="33"/>
      <c r="DL213" s="33"/>
      <c r="DM213" s="33"/>
      <c r="DN213" s="33"/>
      <c r="DO213" s="33"/>
      <c r="DP213" s="33"/>
      <c r="DQ213" s="33"/>
      <c r="DR213" s="33"/>
      <c r="DS213" s="33"/>
      <c r="DT213" s="33"/>
      <c r="DU213" s="33"/>
      <c r="DV213" s="33"/>
      <c r="DW213" s="33"/>
      <c r="DX213" s="33"/>
      <c r="DY213" s="33"/>
      <c r="DZ213" s="33"/>
      <c r="EA213" s="33"/>
      <c r="EB213" s="33"/>
      <c r="EC213" s="33"/>
      <c r="ED213" s="33"/>
      <c r="EE213" s="33"/>
      <c r="EF213" s="33"/>
      <c r="EG213" s="33"/>
      <c r="EH213" s="33"/>
      <c r="EI213" s="33"/>
      <c r="EJ213" s="33"/>
      <c r="EK213" s="33"/>
      <c r="EL213" s="33"/>
      <c r="EM213" s="33"/>
      <c r="EN213" s="33"/>
      <c r="EO213" s="33"/>
      <c r="EP213" s="33"/>
      <c r="EQ213" s="33"/>
      <c r="ER213" s="33"/>
      <c r="ES213" s="33"/>
      <c r="ET213" s="33"/>
      <c r="EU213" s="33"/>
    </row>
    <row r="214" spans="1:151" s="13" customFormat="1" outlineLevel="1">
      <c r="A214" s="108"/>
      <c r="B214" s="210" t="s">
        <v>417</v>
      </c>
      <c r="C214" s="148" t="s">
        <v>170</v>
      </c>
      <c r="D214" s="635"/>
      <c r="E214" s="532">
        <f t="shared" si="39"/>
        <v>68926.13064586668</v>
      </c>
      <c r="F214" s="603">
        <v>4.9817235465868751E-3</v>
      </c>
      <c r="G214" s="496"/>
      <c r="H214" s="496"/>
      <c r="I214" s="496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64"/>
      <c r="U214" s="164"/>
      <c r="V214" s="164"/>
      <c r="W214" s="164"/>
      <c r="X214" s="33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3"/>
      <c r="BH214" s="33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  <c r="BU214" s="33"/>
      <c r="BV214" s="33"/>
      <c r="BW214" s="33"/>
      <c r="BX214" s="33"/>
      <c r="BY214" s="33"/>
      <c r="BZ214" s="33"/>
      <c r="CA214" s="33"/>
      <c r="CB214" s="33"/>
      <c r="CC214" s="33"/>
      <c r="CD214" s="33"/>
      <c r="CE214" s="33"/>
      <c r="CF214" s="33"/>
      <c r="CG214" s="33"/>
      <c r="CH214" s="33"/>
      <c r="CI214" s="33"/>
      <c r="CJ214" s="33"/>
      <c r="CK214" s="33"/>
      <c r="CL214" s="33"/>
      <c r="CM214" s="33"/>
      <c r="CN214" s="33"/>
      <c r="CO214" s="33"/>
      <c r="CP214" s="33"/>
      <c r="CQ214" s="33"/>
      <c r="CR214" s="33"/>
      <c r="CS214" s="33"/>
      <c r="CT214" s="33"/>
      <c r="CU214" s="33"/>
      <c r="CV214" s="33"/>
      <c r="CW214" s="33"/>
      <c r="CX214" s="33"/>
      <c r="CY214" s="33"/>
      <c r="CZ214" s="33"/>
      <c r="DA214" s="33"/>
      <c r="DB214" s="33"/>
      <c r="DC214" s="33"/>
      <c r="DD214" s="33"/>
      <c r="DE214" s="33"/>
      <c r="DF214" s="33"/>
      <c r="DG214" s="33"/>
      <c r="DH214" s="33"/>
      <c r="DI214" s="33"/>
      <c r="DJ214" s="33"/>
      <c r="DK214" s="33"/>
      <c r="DL214" s="33"/>
      <c r="DM214" s="33"/>
      <c r="DN214" s="33"/>
      <c r="DO214" s="33"/>
      <c r="DP214" s="33"/>
      <c r="DQ214" s="33"/>
      <c r="DR214" s="33"/>
      <c r="DS214" s="33"/>
      <c r="DT214" s="33"/>
      <c r="DU214" s="33"/>
      <c r="DV214" s="33"/>
      <c r="DW214" s="33"/>
      <c r="DX214" s="33"/>
      <c r="DY214" s="33"/>
      <c r="DZ214" s="33"/>
      <c r="EA214" s="33"/>
      <c r="EB214" s="33"/>
      <c r="EC214" s="33"/>
      <c r="ED214" s="33"/>
      <c r="EE214" s="33"/>
      <c r="EF214" s="33"/>
      <c r="EG214" s="33"/>
      <c r="EH214" s="33"/>
      <c r="EI214" s="33"/>
      <c r="EJ214" s="33"/>
      <c r="EK214" s="33"/>
      <c r="EL214" s="33"/>
      <c r="EM214" s="33"/>
      <c r="EN214" s="33"/>
      <c r="EO214" s="33"/>
      <c r="EP214" s="33"/>
      <c r="EQ214" s="33"/>
      <c r="ER214" s="33"/>
      <c r="ES214" s="33"/>
      <c r="ET214" s="33"/>
      <c r="EU214" s="33"/>
    </row>
    <row r="215" spans="1:151" s="13" customFormat="1" outlineLevel="1">
      <c r="A215" s="108"/>
      <c r="B215" s="210" t="s">
        <v>418</v>
      </c>
      <c r="C215" s="148" t="s">
        <v>170</v>
      </c>
      <c r="D215" s="635"/>
      <c r="E215" s="532">
        <f t="shared" si="39"/>
        <v>222739.54695483766</v>
      </c>
      <c r="F215" s="603">
        <v>1.6098783370302957E-2</v>
      </c>
      <c r="G215" s="496"/>
      <c r="H215" s="496"/>
      <c r="I215" s="496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64"/>
      <c r="U215" s="164"/>
      <c r="V215" s="164"/>
      <c r="W215" s="164"/>
      <c r="X215" s="33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3"/>
      <c r="BH215" s="33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  <c r="BU215" s="33"/>
      <c r="BV215" s="33"/>
      <c r="BW215" s="33"/>
      <c r="BX215" s="33"/>
      <c r="BY215" s="33"/>
      <c r="BZ215" s="33"/>
      <c r="CA215" s="33"/>
      <c r="CB215" s="33"/>
      <c r="CC215" s="33"/>
      <c r="CD215" s="33"/>
      <c r="CE215" s="33"/>
      <c r="CF215" s="33"/>
      <c r="CG215" s="33"/>
      <c r="CH215" s="33"/>
      <c r="CI215" s="33"/>
      <c r="CJ215" s="33"/>
      <c r="CK215" s="33"/>
      <c r="CL215" s="33"/>
      <c r="CM215" s="33"/>
      <c r="CN215" s="33"/>
      <c r="CO215" s="33"/>
      <c r="CP215" s="33"/>
      <c r="CQ215" s="33"/>
      <c r="CR215" s="33"/>
      <c r="CS215" s="33"/>
      <c r="CT215" s="33"/>
      <c r="CU215" s="33"/>
      <c r="CV215" s="33"/>
      <c r="CW215" s="33"/>
      <c r="CX215" s="33"/>
      <c r="CY215" s="33"/>
      <c r="CZ215" s="33"/>
      <c r="DA215" s="33"/>
      <c r="DB215" s="33"/>
      <c r="DC215" s="33"/>
      <c r="DD215" s="33"/>
      <c r="DE215" s="33"/>
      <c r="DF215" s="33"/>
      <c r="DG215" s="33"/>
      <c r="DH215" s="33"/>
      <c r="DI215" s="33"/>
      <c r="DJ215" s="33"/>
      <c r="DK215" s="33"/>
      <c r="DL215" s="33"/>
      <c r="DM215" s="33"/>
      <c r="DN215" s="33"/>
      <c r="DO215" s="33"/>
      <c r="DP215" s="33"/>
      <c r="DQ215" s="33"/>
      <c r="DR215" s="33"/>
      <c r="DS215" s="33"/>
      <c r="DT215" s="33"/>
      <c r="DU215" s="33"/>
      <c r="DV215" s="33"/>
      <c r="DW215" s="33"/>
      <c r="DX215" s="33"/>
      <c r="DY215" s="33"/>
      <c r="DZ215" s="33"/>
      <c r="EA215" s="33"/>
      <c r="EB215" s="33"/>
      <c r="EC215" s="33"/>
      <c r="ED215" s="33"/>
      <c r="EE215" s="33"/>
      <c r="EF215" s="33"/>
      <c r="EG215" s="33"/>
      <c r="EH215" s="33"/>
      <c r="EI215" s="33"/>
      <c r="EJ215" s="33"/>
      <c r="EK215" s="33"/>
      <c r="EL215" s="33"/>
      <c r="EM215" s="33"/>
      <c r="EN215" s="33"/>
      <c r="EO215" s="33"/>
      <c r="EP215" s="33"/>
      <c r="EQ215" s="33"/>
      <c r="ER215" s="33"/>
      <c r="ES215" s="33"/>
      <c r="ET215" s="33"/>
      <c r="EU215" s="33"/>
    </row>
    <row r="216" spans="1:151" s="13" customFormat="1" outlineLevel="1">
      <c r="A216" s="108"/>
      <c r="B216" s="210" t="s">
        <v>419</v>
      </c>
      <c r="C216" s="148" t="s">
        <v>170</v>
      </c>
      <c r="D216" s="635"/>
      <c r="E216" s="532">
        <f t="shared" si="39"/>
        <v>131955.59172643657</v>
      </c>
      <c r="F216" s="603">
        <v>9.5372578185892089E-3</v>
      </c>
      <c r="G216" s="496"/>
      <c r="H216" s="496"/>
      <c r="I216" s="496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64"/>
      <c r="U216" s="164"/>
      <c r="V216" s="164"/>
      <c r="W216" s="164"/>
      <c r="X216" s="33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3"/>
      <c r="BB216" s="33"/>
      <c r="BC216" s="33"/>
      <c r="BD216" s="33"/>
      <c r="BE216" s="33"/>
      <c r="BF216" s="33"/>
      <c r="BG216" s="33"/>
      <c r="BH216" s="33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  <c r="BU216" s="33"/>
      <c r="BV216" s="33"/>
      <c r="BW216" s="33"/>
      <c r="BX216" s="33"/>
      <c r="BY216" s="33"/>
      <c r="BZ216" s="33"/>
      <c r="CA216" s="33"/>
      <c r="CB216" s="33"/>
      <c r="CC216" s="33"/>
      <c r="CD216" s="33"/>
      <c r="CE216" s="33"/>
      <c r="CF216" s="33"/>
      <c r="CG216" s="33"/>
      <c r="CH216" s="33"/>
      <c r="CI216" s="33"/>
      <c r="CJ216" s="33"/>
      <c r="CK216" s="33"/>
      <c r="CL216" s="33"/>
      <c r="CM216" s="33"/>
      <c r="CN216" s="33"/>
      <c r="CO216" s="33"/>
      <c r="CP216" s="33"/>
      <c r="CQ216" s="33"/>
      <c r="CR216" s="33"/>
      <c r="CS216" s="33"/>
      <c r="CT216" s="33"/>
      <c r="CU216" s="33"/>
      <c r="CV216" s="33"/>
      <c r="CW216" s="33"/>
      <c r="CX216" s="33"/>
      <c r="CY216" s="33"/>
      <c r="CZ216" s="33"/>
      <c r="DA216" s="33"/>
      <c r="DB216" s="33"/>
      <c r="DC216" s="33"/>
      <c r="DD216" s="33"/>
      <c r="DE216" s="33"/>
      <c r="DF216" s="33"/>
      <c r="DG216" s="33"/>
      <c r="DH216" s="33"/>
      <c r="DI216" s="33"/>
      <c r="DJ216" s="33"/>
      <c r="DK216" s="33"/>
      <c r="DL216" s="33"/>
      <c r="DM216" s="33"/>
      <c r="DN216" s="33"/>
      <c r="DO216" s="33"/>
      <c r="DP216" s="33"/>
      <c r="DQ216" s="33"/>
      <c r="DR216" s="33"/>
      <c r="DS216" s="33"/>
      <c r="DT216" s="33"/>
      <c r="DU216" s="33"/>
      <c r="DV216" s="33"/>
      <c r="DW216" s="33"/>
      <c r="DX216" s="33"/>
      <c r="DY216" s="33"/>
      <c r="DZ216" s="33"/>
      <c r="EA216" s="33"/>
      <c r="EB216" s="33"/>
      <c r="EC216" s="33"/>
      <c r="ED216" s="33"/>
      <c r="EE216" s="33"/>
      <c r="EF216" s="33"/>
      <c r="EG216" s="33"/>
      <c r="EH216" s="33"/>
      <c r="EI216" s="33"/>
      <c r="EJ216" s="33"/>
      <c r="EK216" s="33"/>
      <c r="EL216" s="33"/>
      <c r="EM216" s="33"/>
      <c r="EN216" s="33"/>
      <c r="EO216" s="33"/>
      <c r="EP216" s="33"/>
      <c r="EQ216" s="33"/>
      <c r="ER216" s="33"/>
      <c r="ES216" s="33"/>
      <c r="ET216" s="33"/>
      <c r="EU216" s="33"/>
    </row>
    <row r="217" spans="1:151" outlineLevel="1">
      <c r="A217" s="96"/>
      <c r="B217" s="210" t="s">
        <v>7</v>
      </c>
      <c r="C217" s="148" t="s">
        <v>170</v>
      </c>
      <c r="D217" s="635"/>
      <c r="E217" s="532">
        <f t="shared" si="39"/>
        <v>681335.37557993992</v>
      </c>
      <c r="F217" s="603">
        <v>4.9244378755109203E-2</v>
      </c>
      <c r="G217" s="496"/>
      <c r="H217" s="496"/>
      <c r="I217" s="496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4"/>
      <c r="U217" s="4"/>
      <c r="V217" s="4"/>
      <c r="W217" s="4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</row>
    <row r="218" spans="1:151" outlineLevel="1">
      <c r="A218" s="96"/>
      <c r="B218" s="210" t="s">
        <v>8</v>
      </c>
      <c r="C218" s="148" t="s">
        <v>170</v>
      </c>
      <c r="D218" s="635"/>
      <c r="E218" s="532">
        <f t="shared" si="39"/>
        <v>337789.35039205936</v>
      </c>
      <c r="F218" s="603">
        <v>2.4414153890057629E-2</v>
      </c>
      <c r="G218" s="496"/>
      <c r="H218" s="496"/>
      <c r="I218" s="496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4"/>
      <c r="U218" s="4"/>
      <c r="V218" s="4"/>
      <c r="W218" s="4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</row>
    <row r="219" spans="1:151" outlineLevel="1">
      <c r="A219" s="96"/>
      <c r="B219" s="210" t="s">
        <v>457</v>
      </c>
      <c r="C219" s="148" t="s">
        <v>170</v>
      </c>
      <c r="D219" s="635"/>
      <c r="E219" s="532">
        <f t="shared" si="39"/>
        <v>276716</v>
      </c>
      <c r="F219" s="603">
        <v>0.02</v>
      </c>
      <c r="G219" s="496"/>
      <c r="H219" s="496"/>
      <c r="I219" s="496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4"/>
      <c r="U219" s="4"/>
      <c r="V219" s="4"/>
      <c r="W219" s="4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</row>
    <row r="220" spans="1:151" s="13" customFormat="1" outlineLevel="1">
      <c r="A220" s="108"/>
      <c r="B220" s="210" t="s">
        <v>422</v>
      </c>
      <c r="C220" s="148" t="s">
        <v>170</v>
      </c>
      <c r="D220" s="636"/>
      <c r="E220" s="532">
        <f t="shared" si="39"/>
        <v>972980.47221588937</v>
      </c>
      <c r="F220" s="603">
        <v>7.0323398156658043E-2</v>
      </c>
      <c r="G220" s="496"/>
      <c r="H220" s="496"/>
      <c r="I220" s="496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64"/>
      <c r="U220" s="164"/>
      <c r="V220" s="164"/>
      <c r="W220" s="164"/>
      <c r="X220" s="33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3"/>
      <c r="BH220" s="33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  <c r="BU220" s="33"/>
      <c r="BV220" s="33"/>
      <c r="BW220" s="33"/>
      <c r="BX220" s="33"/>
      <c r="BY220" s="33"/>
      <c r="BZ220" s="33"/>
      <c r="CA220" s="33"/>
      <c r="CB220" s="33"/>
      <c r="CC220" s="33"/>
      <c r="CD220" s="33"/>
      <c r="CE220" s="33"/>
      <c r="CF220" s="33"/>
      <c r="CG220" s="33"/>
      <c r="CH220" s="33"/>
      <c r="CI220" s="33"/>
      <c r="CJ220" s="33"/>
      <c r="CK220" s="33"/>
      <c r="CL220" s="33"/>
      <c r="CM220" s="33"/>
      <c r="CN220" s="33"/>
      <c r="CO220" s="33"/>
      <c r="CP220" s="33"/>
      <c r="CQ220" s="33"/>
      <c r="CR220" s="33"/>
      <c r="CS220" s="33"/>
      <c r="CT220" s="33"/>
      <c r="CU220" s="33"/>
      <c r="CV220" s="33"/>
      <c r="CW220" s="33"/>
      <c r="CX220" s="33"/>
      <c r="CY220" s="33"/>
      <c r="CZ220" s="33"/>
      <c r="DA220" s="33"/>
      <c r="DB220" s="33"/>
      <c r="DC220" s="33"/>
      <c r="DD220" s="33"/>
      <c r="DE220" s="33"/>
      <c r="DF220" s="33"/>
      <c r="DG220" s="33"/>
      <c r="DH220" s="33"/>
      <c r="DI220" s="33"/>
      <c r="DJ220" s="33"/>
      <c r="DK220" s="33"/>
      <c r="DL220" s="33"/>
      <c r="DM220" s="33"/>
      <c r="DN220" s="33"/>
      <c r="DO220" s="33"/>
      <c r="DP220" s="33"/>
      <c r="DQ220" s="33"/>
      <c r="DR220" s="33"/>
      <c r="DS220" s="33"/>
      <c r="DT220" s="33"/>
      <c r="DU220" s="33"/>
      <c r="DV220" s="33"/>
      <c r="DW220" s="33"/>
      <c r="DX220" s="33"/>
      <c r="DY220" s="33"/>
      <c r="DZ220" s="33"/>
      <c r="EA220" s="33"/>
      <c r="EB220" s="33"/>
      <c r="EC220" s="33"/>
      <c r="ED220" s="33"/>
      <c r="EE220" s="33"/>
      <c r="EF220" s="33"/>
      <c r="EG220" s="33"/>
      <c r="EH220" s="33"/>
      <c r="EI220" s="33"/>
      <c r="EJ220" s="33"/>
      <c r="EK220" s="33"/>
      <c r="EL220" s="33"/>
      <c r="EM220" s="33"/>
      <c r="EN220" s="33"/>
      <c r="EO220" s="33"/>
      <c r="EP220" s="33"/>
      <c r="EQ220" s="33"/>
      <c r="ER220" s="33"/>
      <c r="ES220" s="33"/>
      <c r="ET220" s="33"/>
      <c r="EU220" s="33"/>
    </row>
    <row r="221" spans="1:151">
      <c r="B221" s="209" t="s">
        <v>11</v>
      </c>
      <c r="C221" s="143"/>
      <c r="D221" s="497" t="s">
        <v>15</v>
      </c>
      <c r="E221" s="499">
        <f>SUM(E209:E220)</f>
        <v>12487083.462101923</v>
      </c>
      <c r="F221" s="603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4"/>
      <c r="U221" s="4"/>
      <c r="V221" s="4"/>
      <c r="W221" s="4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</row>
    <row r="222" spans="1:151">
      <c r="B222" s="524" t="s">
        <v>423</v>
      </c>
      <c r="C222" s="524"/>
      <c r="D222" s="525"/>
      <c r="E222" s="526">
        <f>F222*G222</f>
        <v>1348716.5378980758</v>
      </c>
      <c r="F222" s="603">
        <v>9.7480199041477603E-2</v>
      </c>
      <c r="G222" s="19">
        <v>13835800</v>
      </c>
      <c r="H222" s="203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4"/>
      <c r="U222" s="4"/>
      <c r="V222" s="4"/>
      <c r="W222" s="4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</row>
    <row r="223" spans="1:151" s="6" customFormat="1">
      <c r="B223" s="288"/>
      <c r="C223" s="288"/>
      <c r="D223" s="414" t="s">
        <v>368</v>
      </c>
      <c r="E223" s="19">
        <f>E221-E211+E222</f>
        <v>12341673.191688422</v>
      </c>
      <c r="F223" s="601"/>
      <c r="G223" s="19"/>
      <c r="H223" s="19"/>
      <c r="I223" s="19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4"/>
      <c r="U223" s="4"/>
      <c r="V223" s="4"/>
      <c r="W223" s="4"/>
    </row>
    <row r="224" spans="1:151" s="6" customFormat="1">
      <c r="B224" s="41"/>
      <c r="C224" s="41"/>
      <c r="D224" s="41"/>
      <c r="E224" s="203"/>
      <c r="F224" s="203"/>
      <c r="G224" s="203"/>
      <c r="H224" s="203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4"/>
      <c r="U224" s="4"/>
      <c r="V224" s="4"/>
      <c r="W224" s="4"/>
    </row>
    <row r="225" spans="1:151" s="18" customFormat="1">
      <c r="A225" s="269" t="s">
        <v>24</v>
      </c>
      <c r="B225" s="95" t="s">
        <v>201</v>
      </c>
      <c r="C225" s="95"/>
      <c r="D225" s="95"/>
      <c r="E225" s="95"/>
      <c r="F225" s="95"/>
      <c r="G225" s="479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4"/>
      <c r="U225" s="4"/>
      <c r="V225" s="4"/>
      <c r="W225" s="4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</row>
    <row r="226" spans="1:151" s="6" customFormat="1">
      <c r="A226" s="271"/>
      <c r="B226" s="271"/>
      <c r="C226" s="271"/>
      <c r="D226" s="271"/>
      <c r="E226" s="271"/>
      <c r="F226" s="271"/>
      <c r="G226" s="4"/>
      <c r="H226" s="17"/>
      <c r="I226" s="17"/>
      <c r="J226" s="17"/>
      <c r="K226" s="17"/>
      <c r="L226" s="93"/>
      <c r="M226" s="44"/>
      <c r="N226" s="17"/>
      <c r="O226" s="17"/>
      <c r="P226" s="17"/>
      <c r="Q226" s="17"/>
      <c r="R226" s="17"/>
      <c r="S226" s="17"/>
      <c r="T226" s="4"/>
      <c r="U226" s="4"/>
      <c r="V226" s="4"/>
      <c r="W226" s="4"/>
    </row>
    <row r="227" spans="1:151">
      <c r="B227" s="91" t="s">
        <v>6</v>
      </c>
      <c r="C227" s="132"/>
      <c r="D227" s="132"/>
      <c r="E227" s="625"/>
      <c r="F227" s="626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7"/>
      <c r="S227" s="87"/>
      <c r="T227" s="4"/>
      <c r="U227" s="4"/>
      <c r="V227" s="4"/>
      <c r="W227" s="4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</row>
    <row r="228" spans="1:151" ht="21.75" customHeight="1" outlineLevel="1">
      <c r="B228" s="130"/>
      <c r="C228" s="141"/>
      <c r="D228" s="279"/>
      <c r="E228" s="158" t="s">
        <v>145</v>
      </c>
      <c r="F228" s="158" t="s">
        <v>144</v>
      </c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4"/>
      <c r="U228" s="4"/>
      <c r="V228" s="4"/>
      <c r="W228" s="4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</row>
    <row r="229" spans="1:151" s="6" customFormat="1" outlineLevel="1">
      <c r="B229" s="130" t="s">
        <v>214</v>
      </c>
      <c r="C229" s="144" t="s">
        <v>170</v>
      </c>
      <c r="D229" s="279" t="s">
        <v>495</v>
      </c>
      <c r="E229" s="204">
        <f>E219</f>
        <v>276716</v>
      </c>
      <c r="F229" s="23">
        <f>E229/MAX(A128:A170)</f>
        <v>6749.1707317073169</v>
      </c>
      <c r="G229" s="20"/>
      <c r="J229" s="20"/>
      <c r="K229" s="20"/>
      <c r="L229" s="20"/>
      <c r="M229" s="19"/>
      <c r="N229" s="20"/>
      <c r="O229" s="20"/>
      <c r="P229" s="20"/>
      <c r="Q229" s="20"/>
      <c r="R229" s="20"/>
      <c r="S229" s="20"/>
      <c r="T229" s="4"/>
      <c r="U229" s="4"/>
      <c r="V229" s="4"/>
      <c r="W229" s="4"/>
    </row>
    <row r="230" spans="1:151" s="6" customFormat="1">
      <c r="B230" s="41"/>
      <c r="C230" s="41"/>
      <c r="D230" s="41"/>
      <c r="E230" s="21"/>
      <c r="F230" s="21"/>
      <c r="G230" s="21"/>
      <c r="J230" s="94"/>
      <c r="K230" s="94"/>
      <c r="L230" s="94"/>
      <c r="M230" s="94"/>
      <c r="O230" s="21"/>
      <c r="P230" s="21"/>
      <c r="Q230" s="21"/>
      <c r="R230" s="21"/>
      <c r="S230" s="21"/>
      <c r="T230" s="4"/>
      <c r="U230" s="4"/>
      <c r="V230" s="4"/>
      <c r="W230" s="4"/>
    </row>
    <row r="231" spans="1:151">
      <c r="A231" s="269" t="s">
        <v>253</v>
      </c>
      <c r="B231" s="95" t="s">
        <v>273</v>
      </c>
      <c r="C231" s="95"/>
      <c r="D231" s="95"/>
      <c r="E231" s="188"/>
      <c r="F231" s="188"/>
      <c r="H231" s="179"/>
      <c r="I231" s="179"/>
      <c r="J231" s="179"/>
      <c r="K231" s="179"/>
      <c r="L231" s="176"/>
      <c r="M231" s="176"/>
      <c r="N231" s="176"/>
    </row>
    <row r="232" spans="1:151">
      <c r="B232" s="186"/>
      <c r="C232" s="187"/>
      <c r="D232" s="261">
        <f>E7</f>
        <v>2021</v>
      </c>
      <c r="E232" s="262">
        <f>D232+1</f>
        <v>2022</v>
      </c>
      <c r="F232" s="262">
        <f t="shared" ref="F232:S232" si="40">E232+1</f>
        <v>2023</v>
      </c>
      <c r="G232" s="262">
        <f t="shared" si="40"/>
        <v>2024</v>
      </c>
      <c r="H232" s="262">
        <f t="shared" si="40"/>
        <v>2025</v>
      </c>
      <c r="I232" s="262">
        <f t="shared" si="40"/>
        <v>2026</v>
      </c>
      <c r="J232" s="262">
        <f t="shared" si="40"/>
        <v>2027</v>
      </c>
      <c r="K232" s="262">
        <f t="shared" si="40"/>
        <v>2028</v>
      </c>
      <c r="L232" s="262">
        <f t="shared" si="40"/>
        <v>2029</v>
      </c>
      <c r="M232" s="262">
        <f t="shared" si="40"/>
        <v>2030</v>
      </c>
      <c r="N232" s="262">
        <f t="shared" si="40"/>
        <v>2031</v>
      </c>
      <c r="O232" s="262">
        <f t="shared" si="40"/>
        <v>2032</v>
      </c>
      <c r="P232" s="262">
        <f t="shared" si="40"/>
        <v>2033</v>
      </c>
      <c r="Q232" s="262">
        <f t="shared" si="40"/>
        <v>2034</v>
      </c>
      <c r="R232" s="262">
        <f t="shared" si="40"/>
        <v>2035</v>
      </c>
      <c r="S232" s="262">
        <f t="shared" si="40"/>
        <v>2036</v>
      </c>
      <c r="T232" s="155"/>
    </row>
    <row r="233" spans="1:151" s="488" customFormat="1" ht="12.75">
      <c r="B233" s="487" t="s">
        <v>272</v>
      </c>
      <c r="C233" s="489" t="s">
        <v>121</v>
      </c>
      <c r="D233" s="490">
        <f t="shared" ref="D233:S233" si="41">SUM(D234:D235)</f>
        <v>2198000</v>
      </c>
      <c r="E233" s="490">
        <f t="shared" si="41"/>
        <v>2200238.3639399</v>
      </c>
      <c r="F233" s="490">
        <f t="shared" si="41"/>
        <v>2200238.3639399</v>
      </c>
      <c r="G233" s="490">
        <f t="shared" si="41"/>
        <v>2200238.3639399</v>
      </c>
      <c r="H233" s="490">
        <f t="shared" si="41"/>
        <v>2200238.3639399</v>
      </c>
      <c r="I233" s="490">
        <f t="shared" si="41"/>
        <v>2200238.3639399</v>
      </c>
      <c r="J233" s="490">
        <f t="shared" si="41"/>
        <v>2200238.3639399</v>
      </c>
      <c r="K233" s="490">
        <f t="shared" si="41"/>
        <v>2200310</v>
      </c>
      <c r="L233" s="490">
        <f t="shared" si="41"/>
        <v>2200310</v>
      </c>
      <c r="M233" s="490">
        <f t="shared" si="41"/>
        <v>2200310</v>
      </c>
      <c r="N233" s="490">
        <f t="shared" si="41"/>
        <v>2200310</v>
      </c>
      <c r="O233" s="490">
        <f t="shared" si="41"/>
        <v>2200310</v>
      </c>
      <c r="P233" s="490">
        <f t="shared" si="41"/>
        <v>2200310</v>
      </c>
      <c r="Q233" s="490">
        <f t="shared" si="41"/>
        <v>2200310</v>
      </c>
      <c r="R233" s="490">
        <f t="shared" si="41"/>
        <v>2200310</v>
      </c>
      <c r="S233" s="490">
        <f t="shared" si="41"/>
        <v>2200310</v>
      </c>
      <c r="T233" s="491"/>
    </row>
    <row r="234" spans="1:151" ht="12.75">
      <c r="B234" s="215" t="s">
        <v>209</v>
      </c>
      <c r="C234" s="214" t="s">
        <v>121</v>
      </c>
      <c r="D234" s="83">
        <f>D256+D258</f>
        <v>2198000</v>
      </c>
      <c r="E234" s="83">
        <f t="shared" ref="E234:S234" si="42">E256+E258</f>
        <v>2200238.3639399</v>
      </c>
      <c r="F234" s="83">
        <f t="shared" si="42"/>
        <v>2200238.3639399</v>
      </c>
      <c r="G234" s="83">
        <f t="shared" si="42"/>
        <v>2200238.3639399</v>
      </c>
      <c r="H234" s="83">
        <f t="shared" si="42"/>
        <v>2200238.3639399</v>
      </c>
      <c r="I234" s="83">
        <f t="shared" si="42"/>
        <v>2200238.3639399</v>
      </c>
      <c r="J234" s="83">
        <f t="shared" si="42"/>
        <v>2200238.3639399</v>
      </c>
      <c r="K234" s="83">
        <f t="shared" si="42"/>
        <v>2200310</v>
      </c>
      <c r="L234" s="83">
        <f t="shared" si="42"/>
        <v>2200310</v>
      </c>
      <c r="M234" s="83">
        <f t="shared" si="42"/>
        <v>2200310</v>
      </c>
      <c r="N234" s="83">
        <f t="shared" si="42"/>
        <v>2200310</v>
      </c>
      <c r="O234" s="83">
        <f t="shared" si="42"/>
        <v>2200310</v>
      </c>
      <c r="P234" s="83">
        <f t="shared" si="42"/>
        <v>2200310</v>
      </c>
      <c r="Q234" s="83">
        <f t="shared" si="42"/>
        <v>2200310</v>
      </c>
      <c r="R234" s="83">
        <f t="shared" si="42"/>
        <v>2200310</v>
      </c>
      <c r="S234" s="83">
        <f t="shared" si="42"/>
        <v>2200310</v>
      </c>
      <c r="T234" s="385"/>
    </row>
    <row r="235" spans="1:151" ht="12.75">
      <c r="B235" s="215" t="s">
        <v>406</v>
      </c>
      <c r="C235" s="214" t="s">
        <v>121</v>
      </c>
      <c r="D235" s="83">
        <f>D259</f>
        <v>0</v>
      </c>
      <c r="E235" s="83">
        <f t="shared" ref="E235:S235" si="43">E259</f>
        <v>0</v>
      </c>
      <c r="F235" s="83">
        <f t="shared" si="43"/>
        <v>0</v>
      </c>
      <c r="G235" s="83">
        <f t="shared" si="43"/>
        <v>0</v>
      </c>
      <c r="H235" s="83">
        <f t="shared" si="43"/>
        <v>0</v>
      </c>
      <c r="I235" s="83">
        <f t="shared" si="43"/>
        <v>0</v>
      </c>
      <c r="J235" s="83">
        <f t="shared" si="43"/>
        <v>0</v>
      </c>
      <c r="K235" s="83">
        <f t="shared" si="43"/>
        <v>0</v>
      </c>
      <c r="L235" s="83">
        <f t="shared" si="43"/>
        <v>0</v>
      </c>
      <c r="M235" s="83">
        <f t="shared" si="43"/>
        <v>0</v>
      </c>
      <c r="N235" s="83">
        <f t="shared" si="43"/>
        <v>0</v>
      </c>
      <c r="O235" s="83">
        <f t="shared" si="43"/>
        <v>0</v>
      </c>
      <c r="P235" s="83">
        <f t="shared" si="43"/>
        <v>0</v>
      </c>
      <c r="Q235" s="83">
        <f t="shared" si="43"/>
        <v>0</v>
      </c>
      <c r="R235" s="83">
        <f t="shared" si="43"/>
        <v>0</v>
      </c>
      <c r="S235" s="83">
        <f t="shared" si="43"/>
        <v>0</v>
      </c>
      <c r="T235" s="385"/>
    </row>
    <row r="236" spans="1:151">
      <c r="B236" s="186"/>
      <c r="C236" s="187"/>
      <c r="D236" s="188"/>
      <c r="E236" s="188"/>
      <c r="F236" s="188"/>
      <c r="G236" s="188"/>
      <c r="H236" s="188"/>
      <c r="I236" s="188"/>
      <c r="J236" s="188"/>
      <c r="K236" s="188"/>
      <c r="L236" s="188"/>
      <c r="M236" s="188"/>
      <c r="N236" s="188"/>
      <c r="O236" s="188"/>
      <c r="P236" s="188"/>
      <c r="Q236" s="188"/>
      <c r="R236" s="188"/>
      <c r="S236" s="188"/>
      <c r="T236" s="4"/>
    </row>
    <row r="237" spans="1:151">
      <c r="A237" s="269" t="s">
        <v>274</v>
      </c>
      <c r="B237" s="95" t="s">
        <v>396</v>
      </c>
      <c r="C237" s="95"/>
      <c r="D237" s="95"/>
      <c r="E237" s="188"/>
      <c r="F237" s="188"/>
      <c r="G237" s="188"/>
      <c r="H237" s="188"/>
      <c r="I237" s="188"/>
      <c r="J237" s="188"/>
      <c r="K237" s="188"/>
      <c r="L237" s="188"/>
      <c r="M237" s="188"/>
      <c r="N237" s="188"/>
      <c r="O237" s="188"/>
      <c r="P237" s="188"/>
      <c r="Q237" s="188"/>
      <c r="R237" s="188"/>
      <c r="S237" s="188"/>
      <c r="T237" s="4"/>
    </row>
    <row r="238" spans="1:151" ht="17.25" customHeight="1">
      <c r="B238" s="186"/>
      <c r="C238" s="187"/>
      <c r="D238" s="189">
        <f>E14</f>
        <v>2021</v>
      </c>
      <c r="E238" s="213">
        <f t="shared" ref="E238:S238" si="44">E232</f>
        <v>2022</v>
      </c>
      <c r="F238" s="213">
        <f t="shared" si="44"/>
        <v>2023</v>
      </c>
      <c r="G238" s="213">
        <f t="shared" si="44"/>
        <v>2024</v>
      </c>
      <c r="H238" s="213">
        <f t="shared" si="44"/>
        <v>2025</v>
      </c>
      <c r="I238" s="213">
        <f t="shared" si="44"/>
        <v>2026</v>
      </c>
      <c r="J238" s="213">
        <f t="shared" si="44"/>
        <v>2027</v>
      </c>
      <c r="K238" s="213">
        <f t="shared" si="44"/>
        <v>2028</v>
      </c>
      <c r="L238" s="213">
        <f t="shared" si="44"/>
        <v>2029</v>
      </c>
      <c r="M238" s="213">
        <f t="shared" si="44"/>
        <v>2030</v>
      </c>
      <c r="N238" s="213">
        <f t="shared" si="44"/>
        <v>2031</v>
      </c>
      <c r="O238" s="213">
        <f t="shared" si="44"/>
        <v>2032</v>
      </c>
      <c r="P238" s="213">
        <f t="shared" si="44"/>
        <v>2033</v>
      </c>
      <c r="Q238" s="213">
        <f t="shared" si="44"/>
        <v>2034</v>
      </c>
      <c r="R238" s="213">
        <f t="shared" si="44"/>
        <v>2035</v>
      </c>
      <c r="S238" s="257">
        <f t="shared" si="44"/>
        <v>2036</v>
      </c>
      <c r="T238" s="155"/>
    </row>
    <row r="239" spans="1:151" ht="12.75" thickBot="1">
      <c r="B239" s="212" t="s">
        <v>413</v>
      </c>
      <c r="C239" s="187"/>
      <c r="T239" s="4"/>
    </row>
    <row r="240" spans="1:151">
      <c r="B240" s="224" t="s">
        <v>216</v>
      </c>
      <c r="C240" s="221" t="s">
        <v>48</v>
      </c>
      <c r="D240" s="225"/>
      <c r="E240" s="225"/>
      <c r="F240" s="225"/>
      <c r="G240" s="225"/>
      <c r="H240" s="225"/>
      <c r="I240" s="225"/>
      <c r="J240" s="225"/>
      <c r="K240" s="225"/>
      <c r="L240" s="225"/>
      <c r="M240" s="225"/>
      <c r="N240" s="225"/>
      <c r="O240" s="225"/>
      <c r="P240" s="225"/>
      <c r="Q240" s="225"/>
      <c r="R240" s="225"/>
      <c r="S240" s="263"/>
      <c r="T240" s="12"/>
    </row>
    <row r="241" spans="1:20">
      <c r="B241" s="222" t="s">
        <v>254</v>
      </c>
      <c r="C241" s="214" t="s">
        <v>48</v>
      </c>
      <c r="D241" s="83">
        <v>0</v>
      </c>
      <c r="E241" s="83">
        <v>0</v>
      </c>
      <c r="F241" s="83">
        <v>0</v>
      </c>
      <c r="G241" s="83">
        <v>0</v>
      </c>
      <c r="H241" s="83">
        <v>0</v>
      </c>
      <c r="I241" s="83">
        <v>0</v>
      </c>
      <c r="J241" s="83">
        <v>41</v>
      </c>
      <c r="K241" s="83">
        <v>0</v>
      </c>
      <c r="L241" s="83">
        <v>0</v>
      </c>
      <c r="M241" s="83">
        <v>0</v>
      </c>
      <c r="N241" s="83">
        <v>0</v>
      </c>
      <c r="O241" s="83">
        <v>0</v>
      </c>
      <c r="P241" s="83">
        <v>43</v>
      </c>
      <c r="Q241" s="83">
        <v>0</v>
      </c>
      <c r="R241" s="83">
        <v>0</v>
      </c>
      <c r="S241" s="226">
        <v>0</v>
      </c>
      <c r="T241" s="43"/>
    </row>
    <row r="242" spans="1:20">
      <c r="A242" s="219"/>
      <c r="B242" s="222" t="s">
        <v>346</v>
      </c>
      <c r="C242" s="214" t="s">
        <v>48</v>
      </c>
      <c r="D242" s="83">
        <v>0</v>
      </c>
      <c r="E242" s="83">
        <v>0</v>
      </c>
      <c r="F242" s="83">
        <v>0</v>
      </c>
      <c r="G242" s="83">
        <v>0</v>
      </c>
      <c r="H242" s="83">
        <v>0</v>
      </c>
      <c r="I242" s="83">
        <v>0</v>
      </c>
      <c r="J242" s="83">
        <v>43</v>
      </c>
      <c r="K242" s="83">
        <v>0</v>
      </c>
      <c r="L242" s="83">
        <v>0</v>
      </c>
      <c r="M242" s="83">
        <v>0</v>
      </c>
      <c r="N242" s="83">
        <v>0</v>
      </c>
      <c r="O242" s="83">
        <v>0</v>
      </c>
      <c r="P242" s="83">
        <v>43</v>
      </c>
      <c r="Q242" s="83">
        <v>0</v>
      </c>
      <c r="R242" s="83">
        <v>0</v>
      </c>
      <c r="S242" s="226">
        <v>0</v>
      </c>
      <c r="T242" s="258"/>
    </row>
    <row r="243" spans="1:20">
      <c r="B243" s="228" t="s">
        <v>449</v>
      </c>
      <c r="C243" s="227" t="s">
        <v>48</v>
      </c>
      <c r="D243" s="446">
        <f>D245+D244</f>
        <v>41</v>
      </c>
      <c r="E243" s="446">
        <f t="shared" ref="E243:S243" si="45">E245+E244</f>
        <v>41</v>
      </c>
      <c r="F243" s="446">
        <f t="shared" si="45"/>
        <v>41</v>
      </c>
      <c r="G243" s="446">
        <f t="shared" si="45"/>
        <v>41</v>
      </c>
      <c r="H243" s="446">
        <f t="shared" si="45"/>
        <v>41</v>
      </c>
      <c r="I243" s="446">
        <f t="shared" si="45"/>
        <v>41</v>
      </c>
      <c r="J243" s="446">
        <f t="shared" si="45"/>
        <v>41</v>
      </c>
      <c r="K243" s="446">
        <f t="shared" si="45"/>
        <v>43</v>
      </c>
      <c r="L243" s="446">
        <f t="shared" si="45"/>
        <v>43</v>
      </c>
      <c r="M243" s="446">
        <f t="shared" si="45"/>
        <v>43</v>
      </c>
      <c r="N243" s="446">
        <f t="shared" si="45"/>
        <v>43</v>
      </c>
      <c r="O243" s="446">
        <f t="shared" si="45"/>
        <v>43</v>
      </c>
      <c r="P243" s="446">
        <f t="shared" si="45"/>
        <v>43</v>
      </c>
      <c r="Q243" s="446">
        <f t="shared" si="45"/>
        <v>43</v>
      </c>
      <c r="R243" s="446">
        <f t="shared" si="45"/>
        <v>43</v>
      </c>
      <c r="S243" s="590">
        <f t="shared" si="45"/>
        <v>43</v>
      </c>
      <c r="T243" s="259"/>
    </row>
    <row r="244" spans="1:20">
      <c r="B244" s="591" t="s">
        <v>477</v>
      </c>
      <c r="C244" s="214" t="s">
        <v>48</v>
      </c>
      <c r="D244" s="415">
        <v>23</v>
      </c>
      <c r="E244" s="415">
        <v>23</v>
      </c>
      <c r="F244" s="415">
        <v>23</v>
      </c>
      <c r="G244" s="415">
        <v>23</v>
      </c>
      <c r="H244" s="415">
        <v>23</v>
      </c>
      <c r="I244" s="415">
        <v>23</v>
      </c>
      <c r="J244" s="415">
        <v>23</v>
      </c>
      <c r="K244" s="415">
        <v>24</v>
      </c>
      <c r="L244" s="415">
        <v>24</v>
      </c>
      <c r="M244" s="415">
        <v>24</v>
      </c>
      <c r="N244" s="415">
        <v>24</v>
      </c>
      <c r="O244" s="415">
        <v>24</v>
      </c>
      <c r="P244" s="415">
        <v>24</v>
      </c>
      <c r="Q244" s="415">
        <v>24</v>
      </c>
      <c r="R244" s="415">
        <v>24</v>
      </c>
      <c r="S244" s="429">
        <v>24</v>
      </c>
      <c r="T244" s="259"/>
    </row>
    <row r="245" spans="1:20">
      <c r="B245" s="536" t="s">
        <v>472</v>
      </c>
      <c r="C245" s="537" t="s">
        <v>48</v>
      </c>
      <c r="D245" s="538">
        <f>D246+D254</f>
        <v>18</v>
      </c>
      <c r="E245" s="538">
        <f t="shared" ref="E245:S245" si="46">E246+E254</f>
        <v>18</v>
      </c>
      <c r="F245" s="538">
        <f t="shared" si="46"/>
        <v>18</v>
      </c>
      <c r="G245" s="538">
        <f t="shared" si="46"/>
        <v>18</v>
      </c>
      <c r="H245" s="538">
        <f t="shared" si="46"/>
        <v>18</v>
      </c>
      <c r="I245" s="538">
        <f t="shared" si="46"/>
        <v>18</v>
      </c>
      <c r="J245" s="538">
        <f t="shared" si="46"/>
        <v>18</v>
      </c>
      <c r="K245" s="538">
        <f t="shared" si="46"/>
        <v>19</v>
      </c>
      <c r="L245" s="538">
        <f t="shared" si="46"/>
        <v>19</v>
      </c>
      <c r="M245" s="538">
        <f t="shared" si="46"/>
        <v>19</v>
      </c>
      <c r="N245" s="538">
        <f t="shared" si="46"/>
        <v>19</v>
      </c>
      <c r="O245" s="538">
        <f t="shared" si="46"/>
        <v>19</v>
      </c>
      <c r="P245" s="538">
        <f t="shared" si="46"/>
        <v>19</v>
      </c>
      <c r="Q245" s="538">
        <f t="shared" si="46"/>
        <v>19</v>
      </c>
      <c r="R245" s="538">
        <f t="shared" si="46"/>
        <v>19</v>
      </c>
      <c r="S245" s="594">
        <f t="shared" si="46"/>
        <v>19</v>
      </c>
      <c r="T245" s="259"/>
    </row>
    <row r="246" spans="1:20">
      <c r="A246" s="236"/>
      <c r="B246" s="439" t="s">
        <v>343</v>
      </c>
      <c r="C246" s="214" t="s">
        <v>48</v>
      </c>
      <c r="D246" s="415">
        <f>SUM(D247:D253)</f>
        <v>18</v>
      </c>
      <c r="E246" s="415">
        <f t="shared" ref="E246:S246" si="47">SUM(E247:E253)</f>
        <v>18</v>
      </c>
      <c r="F246" s="415">
        <f t="shared" si="47"/>
        <v>18</v>
      </c>
      <c r="G246" s="415">
        <f t="shared" si="47"/>
        <v>18</v>
      </c>
      <c r="H246" s="415">
        <f t="shared" si="47"/>
        <v>18</v>
      </c>
      <c r="I246" s="415">
        <f t="shared" si="47"/>
        <v>18</v>
      </c>
      <c r="J246" s="415">
        <f t="shared" si="47"/>
        <v>18</v>
      </c>
      <c r="K246" s="415">
        <f t="shared" si="47"/>
        <v>19</v>
      </c>
      <c r="L246" s="415">
        <f t="shared" si="47"/>
        <v>19</v>
      </c>
      <c r="M246" s="415">
        <f t="shared" si="47"/>
        <v>19</v>
      </c>
      <c r="N246" s="415">
        <f t="shared" si="47"/>
        <v>19</v>
      </c>
      <c r="O246" s="415">
        <f t="shared" si="47"/>
        <v>19</v>
      </c>
      <c r="P246" s="415">
        <f t="shared" si="47"/>
        <v>19</v>
      </c>
      <c r="Q246" s="415">
        <f t="shared" si="47"/>
        <v>19</v>
      </c>
      <c r="R246" s="415">
        <f t="shared" si="47"/>
        <v>19</v>
      </c>
      <c r="S246" s="429">
        <f t="shared" si="47"/>
        <v>19</v>
      </c>
      <c r="T246" s="260"/>
    </row>
    <row r="247" spans="1:20">
      <c r="A247" s="236"/>
      <c r="B247" s="222" t="s">
        <v>426</v>
      </c>
      <c r="C247" s="214" t="s">
        <v>48</v>
      </c>
      <c r="D247" s="218"/>
      <c r="E247" s="218"/>
      <c r="F247" s="218"/>
      <c r="G247" s="218"/>
      <c r="H247" s="218"/>
      <c r="I247" s="218"/>
      <c r="J247" s="218"/>
      <c r="K247" s="218"/>
      <c r="L247" s="218"/>
      <c r="M247" s="218"/>
      <c r="N247" s="218"/>
      <c r="O247" s="218"/>
      <c r="P247" s="218"/>
      <c r="Q247" s="218"/>
      <c r="R247" s="218"/>
      <c r="S247" s="223"/>
      <c r="T247" s="260"/>
    </row>
    <row r="248" spans="1:20">
      <c r="A248" s="236"/>
      <c r="B248" s="222" t="s">
        <v>432</v>
      </c>
      <c r="C248" s="214" t="s">
        <v>48</v>
      </c>
      <c r="D248" s="218"/>
      <c r="E248" s="218"/>
      <c r="F248" s="218"/>
      <c r="G248" s="218"/>
      <c r="H248" s="218"/>
      <c r="I248" s="218"/>
      <c r="J248" s="218"/>
      <c r="K248" s="218"/>
      <c r="L248" s="218"/>
      <c r="M248" s="218"/>
      <c r="N248" s="218"/>
      <c r="O248" s="218"/>
      <c r="P248" s="218"/>
      <c r="Q248" s="218"/>
      <c r="R248" s="218"/>
      <c r="S248" s="223"/>
      <c r="T248" s="260"/>
    </row>
    <row r="249" spans="1:20">
      <c r="A249" s="236"/>
      <c r="B249" s="222" t="s">
        <v>427</v>
      </c>
      <c r="C249" s="214" t="s">
        <v>48</v>
      </c>
      <c r="D249" s="218"/>
      <c r="E249" s="218"/>
      <c r="F249" s="218"/>
      <c r="G249" s="218"/>
      <c r="H249" s="218"/>
      <c r="I249" s="218"/>
      <c r="J249" s="218"/>
      <c r="K249" s="218"/>
      <c r="L249" s="218"/>
      <c r="M249" s="218"/>
      <c r="N249" s="218"/>
      <c r="O249" s="218"/>
      <c r="P249" s="218"/>
      <c r="Q249" s="218"/>
      <c r="R249" s="218"/>
      <c r="S249" s="223"/>
      <c r="T249" s="260"/>
    </row>
    <row r="250" spans="1:20">
      <c r="A250" s="236"/>
      <c r="B250" s="222" t="s">
        <v>428</v>
      </c>
      <c r="C250" s="214" t="s">
        <v>48</v>
      </c>
      <c r="D250" s="218"/>
      <c r="E250" s="218"/>
      <c r="F250" s="218"/>
      <c r="G250" s="218"/>
      <c r="H250" s="218"/>
      <c r="I250" s="218"/>
      <c r="J250" s="218"/>
      <c r="K250" s="218"/>
      <c r="L250" s="218"/>
      <c r="M250" s="218"/>
      <c r="N250" s="218"/>
      <c r="O250" s="218"/>
      <c r="P250" s="218"/>
      <c r="Q250" s="218"/>
      <c r="R250" s="218"/>
      <c r="S250" s="223"/>
      <c r="T250" s="260"/>
    </row>
    <row r="251" spans="1:20">
      <c r="A251" s="236"/>
      <c r="B251" s="222" t="s">
        <v>429</v>
      </c>
      <c r="C251" s="214" t="s">
        <v>48</v>
      </c>
      <c r="D251" s="218"/>
      <c r="E251" s="218"/>
      <c r="F251" s="218"/>
      <c r="G251" s="218"/>
      <c r="H251" s="218"/>
      <c r="I251" s="218"/>
      <c r="J251" s="218"/>
      <c r="K251" s="218"/>
      <c r="L251" s="218"/>
      <c r="M251" s="218"/>
      <c r="N251" s="218"/>
      <c r="O251" s="218"/>
      <c r="P251" s="218"/>
      <c r="Q251" s="218"/>
      <c r="R251" s="218"/>
      <c r="S251" s="223"/>
      <c r="T251" s="260"/>
    </row>
    <row r="252" spans="1:20">
      <c r="A252" s="236"/>
      <c r="B252" s="222" t="s">
        <v>430</v>
      </c>
      <c r="C252" s="214" t="s">
        <v>48</v>
      </c>
      <c r="D252" s="218">
        <v>18</v>
      </c>
      <c r="E252" s="218">
        <v>18</v>
      </c>
      <c r="F252" s="218">
        <v>18</v>
      </c>
      <c r="G252" s="218">
        <v>18</v>
      </c>
      <c r="H252" s="218">
        <v>18</v>
      </c>
      <c r="I252" s="218">
        <v>18</v>
      </c>
      <c r="J252" s="218">
        <v>18</v>
      </c>
      <c r="K252" s="218">
        <v>19</v>
      </c>
      <c r="L252" s="218">
        <v>19</v>
      </c>
      <c r="M252" s="218">
        <v>19</v>
      </c>
      <c r="N252" s="218">
        <v>19</v>
      </c>
      <c r="O252" s="218">
        <v>19</v>
      </c>
      <c r="P252" s="218">
        <v>19</v>
      </c>
      <c r="Q252" s="218">
        <v>19</v>
      </c>
      <c r="R252" s="218">
        <v>19</v>
      </c>
      <c r="S252" s="223">
        <v>19</v>
      </c>
      <c r="T252" s="260"/>
    </row>
    <row r="253" spans="1:20">
      <c r="A253" s="236"/>
      <c r="B253" s="228" t="s">
        <v>431</v>
      </c>
      <c r="C253" s="214" t="s">
        <v>48</v>
      </c>
      <c r="D253" s="218"/>
      <c r="E253" s="218"/>
      <c r="F253" s="218"/>
      <c r="G253" s="218"/>
      <c r="H253" s="218"/>
      <c r="I253" s="218"/>
      <c r="J253" s="218"/>
      <c r="K253" s="218"/>
      <c r="L253" s="218"/>
      <c r="M253" s="218"/>
      <c r="N253" s="218"/>
      <c r="O253" s="218"/>
      <c r="P253" s="218"/>
      <c r="Q253" s="218"/>
      <c r="R253" s="218"/>
      <c r="S253" s="223"/>
      <c r="T253" s="260"/>
    </row>
    <row r="254" spans="1:20" ht="12.75" thickBot="1">
      <c r="A254" s="236"/>
      <c r="B254" s="439" t="s">
        <v>342</v>
      </c>
      <c r="C254" s="214" t="s">
        <v>48</v>
      </c>
      <c r="D254" s="415">
        <v>0</v>
      </c>
      <c r="E254" s="415">
        <v>0</v>
      </c>
      <c r="F254" s="415">
        <v>0</v>
      </c>
      <c r="G254" s="415">
        <v>0</v>
      </c>
      <c r="H254" s="415">
        <v>0</v>
      </c>
      <c r="I254" s="415">
        <v>0</v>
      </c>
      <c r="J254" s="415">
        <v>0</v>
      </c>
      <c r="K254" s="415">
        <v>0</v>
      </c>
      <c r="L254" s="415">
        <v>0</v>
      </c>
      <c r="M254" s="415">
        <v>0</v>
      </c>
      <c r="N254" s="415">
        <v>0</v>
      </c>
      <c r="O254" s="415">
        <v>0</v>
      </c>
      <c r="P254" s="415">
        <v>0</v>
      </c>
      <c r="Q254" s="415">
        <v>0</v>
      </c>
      <c r="R254" s="415">
        <v>0</v>
      </c>
      <c r="S254" s="429">
        <v>0</v>
      </c>
      <c r="T254" s="260"/>
    </row>
    <row r="255" spans="1:20">
      <c r="B255" s="224" t="s">
        <v>215</v>
      </c>
      <c r="C255" s="221" t="s">
        <v>121</v>
      </c>
      <c r="D255" s="470">
        <f>D257+D256</f>
        <v>2198000</v>
      </c>
      <c r="E255" s="470">
        <f t="shared" ref="E255:S255" si="48">E257+E256</f>
        <v>2200238.3639399</v>
      </c>
      <c r="F255" s="470">
        <f t="shared" si="48"/>
        <v>2200238.3639399</v>
      </c>
      <c r="G255" s="470">
        <f t="shared" si="48"/>
        <v>2200238.3639399</v>
      </c>
      <c r="H255" s="470">
        <f t="shared" si="48"/>
        <v>2200238.3639399</v>
      </c>
      <c r="I255" s="470">
        <f t="shared" si="48"/>
        <v>2200238.3639399</v>
      </c>
      <c r="J255" s="470">
        <f t="shared" si="48"/>
        <v>2200238.3639399</v>
      </c>
      <c r="K255" s="470">
        <f t="shared" si="48"/>
        <v>2200310</v>
      </c>
      <c r="L255" s="470">
        <f t="shared" si="48"/>
        <v>2200310</v>
      </c>
      <c r="M255" s="470">
        <f t="shared" si="48"/>
        <v>2200310</v>
      </c>
      <c r="N255" s="470">
        <f t="shared" si="48"/>
        <v>2200310</v>
      </c>
      <c r="O255" s="470">
        <f t="shared" si="48"/>
        <v>2200310</v>
      </c>
      <c r="P255" s="470">
        <f t="shared" si="48"/>
        <v>2200310</v>
      </c>
      <c r="Q255" s="470">
        <f t="shared" si="48"/>
        <v>2200310</v>
      </c>
      <c r="R255" s="470">
        <f t="shared" si="48"/>
        <v>2200310</v>
      </c>
      <c r="S255" s="471">
        <f t="shared" si="48"/>
        <v>2200310</v>
      </c>
      <c r="T255" s="12"/>
    </row>
    <row r="256" spans="1:20">
      <c r="B256" s="222" t="s">
        <v>478</v>
      </c>
      <c r="C256" s="214" t="s">
        <v>121</v>
      </c>
      <c r="D256" s="83">
        <v>1198000</v>
      </c>
      <c r="E256" s="83">
        <v>1199220</v>
      </c>
      <c r="F256" s="83">
        <v>1199220</v>
      </c>
      <c r="G256" s="83">
        <v>1199220</v>
      </c>
      <c r="H256" s="83">
        <v>1199220</v>
      </c>
      <c r="I256" s="83">
        <v>1199220</v>
      </c>
      <c r="J256" s="83">
        <v>1199220</v>
      </c>
      <c r="K256" s="83">
        <v>1228080</v>
      </c>
      <c r="L256" s="83">
        <v>1228080</v>
      </c>
      <c r="M256" s="83">
        <v>1228080</v>
      </c>
      <c r="N256" s="83">
        <v>1228080</v>
      </c>
      <c r="O256" s="83">
        <v>1228080</v>
      </c>
      <c r="P256" s="83">
        <v>1228080</v>
      </c>
      <c r="Q256" s="83">
        <v>1228080</v>
      </c>
      <c r="R256" s="83">
        <v>1228080</v>
      </c>
      <c r="S256" s="226">
        <v>1228080</v>
      </c>
      <c r="T256" s="179"/>
    </row>
    <row r="257" spans="1:20">
      <c r="B257" s="536" t="s">
        <v>472</v>
      </c>
      <c r="C257" s="214" t="s">
        <v>121</v>
      </c>
      <c r="D257" s="443">
        <f>D258+D259+D260</f>
        <v>1000000</v>
      </c>
      <c r="E257" s="443">
        <f t="shared" ref="E257:S257" si="49">E258+E259+E260</f>
        <v>1001018.3639399</v>
      </c>
      <c r="F257" s="443">
        <f t="shared" si="49"/>
        <v>1001018.3639399</v>
      </c>
      <c r="G257" s="443">
        <f t="shared" si="49"/>
        <v>1001018.3639399</v>
      </c>
      <c r="H257" s="443">
        <f t="shared" si="49"/>
        <v>1001018.3639399</v>
      </c>
      <c r="I257" s="443">
        <f t="shared" si="49"/>
        <v>1001018.3639399</v>
      </c>
      <c r="J257" s="443">
        <f t="shared" si="49"/>
        <v>1001018.3639399</v>
      </c>
      <c r="K257" s="443">
        <f t="shared" si="49"/>
        <v>972230</v>
      </c>
      <c r="L257" s="443">
        <f t="shared" si="49"/>
        <v>972230</v>
      </c>
      <c r="M257" s="443">
        <f t="shared" si="49"/>
        <v>972230</v>
      </c>
      <c r="N257" s="443">
        <f t="shared" si="49"/>
        <v>972230</v>
      </c>
      <c r="O257" s="443">
        <f t="shared" si="49"/>
        <v>972230</v>
      </c>
      <c r="P257" s="443">
        <f t="shared" si="49"/>
        <v>972230</v>
      </c>
      <c r="Q257" s="443">
        <f t="shared" si="49"/>
        <v>972230</v>
      </c>
      <c r="R257" s="443">
        <f t="shared" si="49"/>
        <v>972230</v>
      </c>
      <c r="S257" s="445">
        <f t="shared" si="49"/>
        <v>972230</v>
      </c>
      <c r="T257" s="12"/>
    </row>
    <row r="258" spans="1:20">
      <c r="B258" s="222" t="s">
        <v>209</v>
      </c>
      <c r="C258" s="214" t="s">
        <v>121</v>
      </c>
      <c r="D258" s="83">
        <v>1000000</v>
      </c>
      <c r="E258" s="83">
        <v>1001018.3639399</v>
      </c>
      <c r="F258" s="83">
        <v>1001018.3639399</v>
      </c>
      <c r="G258" s="83">
        <v>1001018.3639399</v>
      </c>
      <c r="H258" s="83">
        <v>1001018.3639399</v>
      </c>
      <c r="I258" s="83">
        <v>1001018.3639399</v>
      </c>
      <c r="J258" s="83">
        <v>1001018.3639399</v>
      </c>
      <c r="K258" s="83">
        <v>972230</v>
      </c>
      <c r="L258" s="83">
        <v>972230</v>
      </c>
      <c r="M258" s="83">
        <v>972230</v>
      </c>
      <c r="N258" s="83">
        <v>972230</v>
      </c>
      <c r="O258" s="83">
        <v>972230</v>
      </c>
      <c r="P258" s="83">
        <v>972230</v>
      </c>
      <c r="Q258" s="83">
        <v>972230</v>
      </c>
      <c r="R258" s="83">
        <v>972230</v>
      </c>
      <c r="S258" s="226">
        <v>972230</v>
      </c>
      <c r="T258" s="179"/>
    </row>
    <row r="259" spans="1:20">
      <c r="B259" s="222" t="s">
        <v>408</v>
      </c>
      <c r="C259" s="214" t="s">
        <v>121</v>
      </c>
      <c r="D259" s="83"/>
      <c r="E259" s="83"/>
      <c r="F259" s="83"/>
      <c r="G259" s="83"/>
      <c r="H259" s="83"/>
      <c r="I259" s="83"/>
      <c r="J259" s="83"/>
      <c r="K259" s="83"/>
      <c r="L259" s="83"/>
      <c r="M259" s="83"/>
      <c r="N259" s="83"/>
      <c r="O259" s="83"/>
      <c r="P259" s="83"/>
      <c r="Q259" s="83"/>
      <c r="R259" s="83"/>
      <c r="S259" s="226"/>
      <c r="T259" s="179"/>
    </row>
    <row r="260" spans="1:20" ht="12.75" thickBot="1">
      <c r="B260" s="222" t="s">
        <v>342</v>
      </c>
      <c r="C260" s="214" t="s">
        <v>121</v>
      </c>
      <c r="D260" s="83"/>
      <c r="E260" s="83"/>
      <c r="F260" s="83"/>
      <c r="G260" s="83"/>
      <c r="H260" s="83"/>
      <c r="I260" s="83"/>
      <c r="J260" s="83"/>
      <c r="K260" s="83"/>
      <c r="L260" s="83"/>
      <c r="M260" s="83"/>
      <c r="N260" s="83"/>
      <c r="O260" s="83"/>
      <c r="P260" s="83"/>
      <c r="Q260" s="83"/>
      <c r="R260" s="83"/>
      <c r="S260" s="226"/>
      <c r="T260" s="179"/>
    </row>
    <row r="261" spans="1:20">
      <c r="B261" s="536" t="s">
        <v>472</v>
      </c>
      <c r="C261" s="221" t="s">
        <v>395</v>
      </c>
      <c r="D261" s="470"/>
      <c r="E261" s="470"/>
      <c r="F261" s="470"/>
      <c r="G261" s="470"/>
      <c r="H261" s="470"/>
      <c r="I261" s="470"/>
      <c r="J261" s="470"/>
      <c r="K261" s="470"/>
      <c r="L261" s="470"/>
      <c r="M261" s="470"/>
      <c r="N261" s="470"/>
      <c r="O261" s="470"/>
      <c r="P261" s="470"/>
      <c r="Q261" s="470"/>
      <c r="R261" s="470"/>
      <c r="S261" s="471"/>
      <c r="T261" s="12"/>
    </row>
    <row r="262" spans="1:20">
      <c r="B262" s="222" t="s">
        <v>478</v>
      </c>
      <c r="C262" s="214" t="s">
        <v>395</v>
      </c>
      <c r="D262" s="588">
        <f>D256/D244</f>
        <v>52086.956521739128</v>
      </c>
      <c r="E262" s="588">
        <f t="shared" ref="E262:S262" si="50">E256/E244</f>
        <v>52140</v>
      </c>
      <c r="F262" s="588">
        <f t="shared" si="50"/>
        <v>52140</v>
      </c>
      <c r="G262" s="588">
        <f t="shared" si="50"/>
        <v>52140</v>
      </c>
      <c r="H262" s="588">
        <f t="shared" si="50"/>
        <v>52140</v>
      </c>
      <c r="I262" s="588">
        <f t="shared" si="50"/>
        <v>52140</v>
      </c>
      <c r="J262" s="588">
        <f t="shared" si="50"/>
        <v>52140</v>
      </c>
      <c r="K262" s="588">
        <f t="shared" si="50"/>
        <v>51170</v>
      </c>
      <c r="L262" s="588">
        <f t="shared" si="50"/>
        <v>51170</v>
      </c>
      <c r="M262" s="588">
        <f t="shared" si="50"/>
        <v>51170</v>
      </c>
      <c r="N262" s="588">
        <f t="shared" si="50"/>
        <v>51170</v>
      </c>
      <c r="O262" s="588">
        <f t="shared" si="50"/>
        <v>51170</v>
      </c>
      <c r="P262" s="588">
        <f t="shared" si="50"/>
        <v>51170</v>
      </c>
      <c r="Q262" s="588">
        <f t="shared" si="50"/>
        <v>51170</v>
      </c>
      <c r="R262" s="588">
        <f t="shared" si="50"/>
        <v>51170</v>
      </c>
      <c r="S262" s="592">
        <f t="shared" si="50"/>
        <v>51170</v>
      </c>
      <c r="T262" s="12"/>
    </row>
    <row r="263" spans="1:20">
      <c r="B263" s="222" t="s">
        <v>209</v>
      </c>
      <c r="C263" s="214" t="s">
        <v>395</v>
      </c>
      <c r="D263" s="83">
        <f>D258/(D246-D253)</f>
        <v>55555.555555555555</v>
      </c>
      <c r="E263" s="83">
        <f t="shared" ref="E263:S263" si="51">E258/(E246-E253)</f>
        <v>55612.131329994445</v>
      </c>
      <c r="F263" s="83">
        <f t="shared" si="51"/>
        <v>55612.131329994445</v>
      </c>
      <c r="G263" s="83">
        <f t="shared" si="51"/>
        <v>55612.131329994445</v>
      </c>
      <c r="H263" s="83">
        <f t="shared" si="51"/>
        <v>55612.131329994445</v>
      </c>
      <c r="I263" s="83">
        <f t="shared" si="51"/>
        <v>55612.131329994445</v>
      </c>
      <c r="J263" s="83">
        <f t="shared" si="51"/>
        <v>55612.131329994445</v>
      </c>
      <c r="K263" s="83">
        <f t="shared" si="51"/>
        <v>51170</v>
      </c>
      <c r="L263" s="83">
        <f t="shared" si="51"/>
        <v>51170</v>
      </c>
      <c r="M263" s="83">
        <f t="shared" si="51"/>
        <v>51170</v>
      </c>
      <c r="N263" s="83">
        <f t="shared" si="51"/>
        <v>51170</v>
      </c>
      <c r="O263" s="83">
        <f t="shared" si="51"/>
        <v>51170</v>
      </c>
      <c r="P263" s="83">
        <f t="shared" si="51"/>
        <v>51170</v>
      </c>
      <c r="Q263" s="83">
        <f t="shared" si="51"/>
        <v>51170</v>
      </c>
      <c r="R263" s="83">
        <f t="shared" si="51"/>
        <v>51170</v>
      </c>
      <c r="S263" s="226">
        <f t="shared" si="51"/>
        <v>51170</v>
      </c>
      <c r="T263" s="179"/>
    </row>
    <row r="264" spans="1:20">
      <c r="B264" s="222" t="s">
        <v>408</v>
      </c>
      <c r="C264" s="214" t="s">
        <v>395</v>
      </c>
      <c r="D264" s="83"/>
      <c r="E264" s="83"/>
      <c r="F264" s="83"/>
      <c r="G264" s="83"/>
      <c r="H264" s="83"/>
      <c r="I264" s="83"/>
      <c r="J264" s="83"/>
      <c r="K264" s="83"/>
      <c r="L264" s="83"/>
      <c r="M264" s="83"/>
      <c r="N264" s="83"/>
      <c r="O264" s="83"/>
      <c r="P264" s="83"/>
      <c r="Q264" s="83"/>
      <c r="R264" s="83"/>
      <c r="S264" s="226"/>
      <c r="T264" s="179"/>
    </row>
    <row r="265" spans="1:20">
      <c r="B265" s="222" t="s">
        <v>344</v>
      </c>
      <c r="C265" s="214" t="s">
        <v>395</v>
      </c>
      <c r="D265" s="83">
        <v>0</v>
      </c>
      <c r="E265" s="83">
        <v>0</v>
      </c>
      <c r="F265" s="83">
        <v>0</v>
      </c>
      <c r="G265" s="83">
        <v>0</v>
      </c>
      <c r="H265" s="83">
        <v>0</v>
      </c>
      <c r="I265" s="83">
        <v>0</v>
      </c>
      <c r="J265" s="83">
        <v>0</v>
      </c>
      <c r="K265" s="83">
        <v>0</v>
      </c>
      <c r="L265" s="83">
        <v>0</v>
      </c>
      <c r="M265" s="83">
        <v>0</v>
      </c>
      <c r="N265" s="83">
        <v>0</v>
      </c>
      <c r="O265" s="83">
        <v>0</v>
      </c>
      <c r="P265" s="83">
        <v>0</v>
      </c>
      <c r="Q265" s="83">
        <v>0</v>
      </c>
      <c r="R265" s="83">
        <v>0</v>
      </c>
      <c r="S265" s="226">
        <v>0</v>
      </c>
      <c r="T265" s="179"/>
    </row>
    <row r="266" spans="1:20" ht="12.75" thickBot="1">
      <c r="B266" s="472" t="s">
        <v>298</v>
      </c>
      <c r="C266" s="469" t="s">
        <v>28</v>
      </c>
      <c r="D266" s="473">
        <v>7.3170731707317069E-2</v>
      </c>
      <c r="E266" s="473">
        <v>1.0731707317073171</v>
      </c>
      <c r="F266" s="473">
        <v>2.0731707317073171</v>
      </c>
      <c r="G266" s="473">
        <v>3.0731707317073171</v>
      </c>
      <c r="H266" s="473">
        <v>4.0731707317073171</v>
      </c>
      <c r="I266" s="473">
        <v>5.0731707317073171</v>
      </c>
      <c r="J266" s="473">
        <v>6.0731707317073171</v>
      </c>
      <c r="K266" s="473">
        <v>8</v>
      </c>
      <c r="L266" s="473">
        <v>9</v>
      </c>
      <c r="M266" s="473">
        <v>10</v>
      </c>
      <c r="N266" s="473">
        <v>11</v>
      </c>
      <c r="O266" s="473">
        <v>12</v>
      </c>
      <c r="P266" s="473">
        <v>13</v>
      </c>
      <c r="Q266" s="473">
        <v>8</v>
      </c>
      <c r="R266" s="473">
        <v>9</v>
      </c>
      <c r="S266" s="474">
        <v>10</v>
      </c>
      <c r="T266" s="179"/>
    </row>
    <row r="267" spans="1:20" s="6" customFormat="1">
      <c r="B267" s="4"/>
      <c r="C267" s="200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79"/>
      <c r="O267" s="179"/>
      <c r="P267" s="179"/>
      <c r="Q267" s="179"/>
      <c r="R267" s="179"/>
      <c r="S267" s="179"/>
      <c r="T267" s="179"/>
    </row>
    <row r="268" spans="1:20" ht="12.75" thickBot="1">
      <c r="B268" s="212" t="s">
        <v>421</v>
      </c>
      <c r="C268" s="187"/>
      <c r="T268" s="4"/>
    </row>
    <row r="269" spans="1:20">
      <c r="B269" s="224" t="s">
        <v>216</v>
      </c>
      <c r="C269" s="221" t="s">
        <v>48</v>
      </c>
      <c r="D269" s="225"/>
      <c r="E269" s="225"/>
      <c r="F269" s="225"/>
      <c r="G269" s="225"/>
      <c r="H269" s="225"/>
      <c r="I269" s="225"/>
      <c r="J269" s="225"/>
      <c r="K269" s="225"/>
      <c r="L269" s="225"/>
      <c r="M269" s="225"/>
      <c r="N269" s="225"/>
      <c r="O269" s="225"/>
      <c r="P269" s="225"/>
      <c r="Q269" s="225"/>
      <c r="R269" s="225"/>
      <c r="S269" s="263"/>
      <c r="T269" s="12"/>
    </row>
    <row r="270" spans="1:20">
      <c r="B270" s="222" t="s">
        <v>254</v>
      </c>
      <c r="C270" s="214" t="s">
        <v>48</v>
      </c>
      <c r="D270" s="83">
        <v>0</v>
      </c>
      <c r="E270" s="83">
        <v>0</v>
      </c>
      <c r="F270" s="83">
        <v>0</v>
      </c>
      <c r="G270" s="83">
        <v>0</v>
      </c>
      <c r="H270" s="83">
        <v>0</v>
      </c>
      <c r="I270" s="83">
        <v>0</v>
      </c>
      <c r="J270" s="83">
        <v>41</v>
      </c>
      <c r="K270" s="83">
        <v>0</v>
      </c>
      <c r="L270" s="83">
        <v>0</v>
      </c>
      <c r="M270" s="83">
        <v>0</v>
      </c>
      <c r="N270" s="83">
        <v>0</v>
      </c>
      <c r="O270" s="83">
        <v>0</v>
      </c>
      <c r="P270" s="83">
        <v>0</v>
      </c>
      <c r="Q270" s="83">
        <v>0</v>
      </c>
      <c r="R270" s="83">
        <v>41</v>
      </c>
      <c r="S270" s="226">
        <v>0</v>
      </c>
      <c r="T270" s="43"/>
    </row>
    <row r="271" spans="1:20">
      <c r="A271" s="219"/>
      <c r="B271" s="222" t="s">
        <v>346</v>
      </c>
      <c r="C271" s="214" t="s">
        <v>48</v>
      </c>
      <c r="D271" s="83">
        <v>0</v>
      </c>
      <c r="E271" s="442">
        <v>0</v>
      </c>
      <c r="F271" s="442">
        <v>0</v>
      </c>
      <c r="G271" s="442">
        <v>0</v>
      </c>
      <c r="H271" s="442">
        <v>0</v>
      </c>
      <c r="I271" s="442">
        <v>0</v>
      </c>
      <c r="J271" s="442">
        <v>41</v>
      </c>
      <c r="K271" s="442">
        <v>0</v>
      </c>
      <c r="L271" s="442">
        <v>0</v>
      </c>
      <c r="M271" s="442">
        <v>0</v>
      </c>
      <c r="N271" s="442">
        <v>0</v>
      </c>
      <c r="O271" s="442">
        <v>0</v>
      </c>
      <c r="P271" s="442">
        <v>0</v>
      </c>
      <c r="Q271" s="442">
        <v>0</v>
      </c>
      <c r="R271" s="442">
        <v>41</v>
      </c>
      <c r="S271" s="444">
        <v>0</v>
      </c>
      <c r="T271" s="258"/>
    </row>
    <row r="272" spans="1:20">
      <c r="B272" s="228" t="s">
        <v>449</v>
      </c>
      <c r="C272" s="227" t="s">
        <v>48</v>
      </c>
      <c r="D272" s="446">
        <f>D274+D273</f>
        <v>41</v>
      </c>
      <c r="E272" s="446">
        <f t="shared" ref="E272:S272" si="52">E274+E273</f>
        <v>41</v>
      </c>
      <c r="F272" s="446">
        <f t="shared" si="52"/>
        <v>41</v>
      </c>
      <c r="G272" s="446">
        <f t="shared" si="52"/>
        <v>41</v>
      </c>
      <c r="H272" s="446">
        <f t="shared" si="52"/>
        <v>41</v>
      </c>
      <c r="I272" s="446">
        <f t="shared" si="52"/>
        <v>41</v>
      </c>
      <c r="J272" s="446">
        <f t="shared" si="52"/>
        <v>41</v>
      </c>
      <c r="K272" s="446">
        <f t="shared" si="52"/>
        <v>41</v>
      </c>
      <c r="L272" s="446">
        <f t="shared" si="52"/>
        <v>41</v>
      </c>
      <c r="M272" s="446">
        <f t="shared" si="52"/>
        <v>41</v>
      </c>
      <c r="N272" s="446">
        <f t="shared" si="52"/>
        <v>41</v>
      </c>
      <c r="O272" s="446">
        <f t="shared" si="52"/>
        <v>41</v>
      </c>
      <c r="P272" s="446">
        <f t="shared" si="52"/>
        <v>41</v>
      </c>
      <c r="Q272" s="446">
        <f t="shared" si="52"/>
        <v>41</v>
      </c>
      <c r="R272" s="446">
        <f t="shared" si="52"/>
        <v>41</v>
      </c>
      <c r="S272" s="590">
        <f t="shared" si="52"/>
        <v>41</v>
      </c>
      <c r="T272" s="259"/>
    </row>
    <row r="273" spans="1:20" ht="12.75" thickBot="1">
      <c r="B273" s="591" t="s">
        <v>477</v>
      </c>
      <c r="C273" s="214" t="s">
        <v>48</v>
      </c>
      <c r="D273" s="415">
        <v>23</v>
      </c>
      <c r="E273" s="415">
        <v>23</v>
      </c>
      <c r="F273" s="415">
        <v>23</v>
      </c>
      <c r="G273" s="415">
        <v>23</v>
      </c>
      <c r="H273" s="415">
        <v>23</v>
      </c>
      <c r="I273" s="415">
        <v>23</v>
      </c>
      <c r="J273" s="415">
        <v>23</v>
      </c>
      <c r="K273" s="415">
        <v>23</v>
      </c>
      <c r="L273" s="415">
        <v>23</v>
      </c>
      <c r="M273" s="415">
        <v>23</v>
      </c>
      <c r="N273" s="415">
        <v>23</v>
      </c>
      <c r="O273" s="415">
        <v>23</v>
      </c>
      <c r="P273" s="415">
        <v>23</v>
      </c>
      <c r="Q273" s="415">
        <v>23</v>
      </c>
      <c r="R273" s="415">
        <v>23</v>
      </c>
      <c r="S273" s="429">
        <v>23</v>
      </c>
      <c r="T273" s="259"/>
    </row>
    <row r="274" spans="1:20">
      <c r="B274" s="536" t="s">
        <v>472</v>
      </c>
      <c r="C274" s="221" t="s">
        <v>48</v>
      </c>
      <c r="D274" s="229">
        <f>D275+D283</f>
        <v>18</v>
      </c>
      <c r="E274" s="229">
        <f t="shared" ref="E274:S274" si="53">E275+E283</f>
        <v>18</v>
      </c>
      <c r="F274" s="229">
        <f t="shared" si="53"/>
        <v>18</v>
      </c>
      <c r="G274" s="229">
        <f t="shared" si="53"/>
        <v>18</v>
      </c>
      <c r="H274" s="229">
        <f t="shared" si="53"/>
        <v>18</v>
      </c>
      <c r="I274" s="229">
        <f t="shared" si="53"/>
        <v>18</v>
      </c>
      <c r="J274" s="229">
        <f t="shared" si="53"/>
        <v>18</v>
      </c>
      <c r="K274" s="229">
        <f t="shared" si="53"/>
        <v>18</v>
      </c>
      <c r="L274" s="229">
        <f t="shared" si="53"/>
        <v>18</v>
      </c>
      <c r="M274" s="229">
        <f t="shared" si="53"/>
        <v>18</v>
      </c>
      <c r="N274" s="229">
        <f t="shared" si="53"/>
        <v>18</v>
      </c>
      <c r="O274" s="229">
        <f t="shared" si="53"/>
        <v>18</v>
      </c>
      <c r="P274" s="229">
        <f t="shared" si="53"/>
        <v>18</v>
      </c>
      <c r="Q274" s="229">
        <f t="shared" si="53"/>
        <v>18</v>
      </c>
      <c r="R274" s="229">
        <f t="shared" si="53"/>
        <v>18</v>
      </c>
      <c r="S274" s="230">
        <f t="shared" si="53"/>
        <v>18</v>
      </c>
      <c r="T274" s="259"/>
    </row>
    <row r="275" spans="1:20">
      <c r="A275" s="236"/>
      <c r="B275" s="439" t="s">
        <v>343</v>
      </c>
      <c r="C275" s="214" t="s">
        <v>48</v>
      </c>
      <c r="D275" s="415">
        <f>SUM(D276:D282)</f>
        <v>18</v>
      </c>
      <c r="E275" s="415">
        <f t="shared" ref="E275:S275" si="54">SUM(E276:E282)</f>
        <v>18</v>
      </c>
      <c r="F275" s="415">
        <f t="shared" si="54"/>
        <v>18</v>
      </c>
      <c r="G275" s="415">
        <f t="shared" si="54"/>
        <v>18</v>
      </c>
      <c r="H275" s="415">
        <f t="shared" si="54"/>
        <v>18</v>
      </c>
      <c r="I275" s="415">
        <f t="shared" si="54"/>
        <v>18</v>
      </c>
      <c r="J275" s="415">
        <f t="shared" si="54"/>
        <v>18</v>
      </c>
      <c r="K275" s="415">
        <f t="shared" si="54"/>
        <v>18</v>
      </c>
      <c r="L275" s="415">
        <f t="shared" si="54"/>
        <v>18</v>
      </c>
      <c r="M275" s="415">
        <f t="shared" si="54"/>
        <v>18</v>
      </c>
      <c r="N275" s="415">
        <f t="shared" si="54"/>
        <v>18</v>
      </c>
      <c r="O275" s="415">
        <f t="shared" si="54"/>
        <v>18</v>
      </c>
      <c r="P275" s="415">
        <f t="shared" si="54"/>
        <v>18</v>
      </c>
      <c r="Q275" s="415">
        <f t="shared" si="54"/>
        <v>18</v>
      </c>
      <c r="R275" s="415">
        <f t="shared" si="54"/>
        <v>18</v>
      </c>
      <c r="S275" s="429">
        <f t="shared" si="54"/>
        <v>18</v>
      </c>
      <c r="T275" s="260"/>
    </row>
    <row r="276" spans="1:20">
      <c r="A276" s="236"/>
      <c r="B276" s="222" t="s">
        <v>426</v>
      </c>
      <c r="C276" s="214" t="s">
        <v>48</v>
      </c>
      <c r="D276" s="218"/>
      <c r="E276" s="218"/>
      <c r="F276" s="218"/>
      <c r="G276" s="218"/>
      <c r="H276" s="218"/>
      <c r="I276" s="218"/>
      <c r="J276" s="218"/>
      <c r="K276" s="218"/>
      <c r="L276" s="218"/>
      <c r="M276" s="218"/>
      <c r="N276" s="218"/>
      <c r="O276" s="218"/>
      <c r="P276" s="218"/>
      <c r="Q276" s="218"/>
      <c r="R276" s="218"/>
      <c r="S276" s="223"/>
      <c r="T276" s="260"/>
    </row>
    <row r="277" spans="1:20">
      <c r="A277" s="236"/>
      <c r="B277" s="222" t="s">
        <v>432</v>
      </c>
      <c r="C277" s="214" t="s">
        <v>48</v>
      </c>
      <c r="D277" s="218"/>
      <c r="E277" s="218"/>
      <c r="F277" s="218"/>
      <c r="G277" s="218"/>
      <c r="H277" s="218"/>
      <c r="I277" s="218"/>
      <c r="J277" s="218"/>
      <c r="K277" s="218"/>
      <c r="L277" s="218"/>
      <c r="M277" s="218"/>
      <c r="N277" s="218"/>
      <c r="O277" s="218"/>
      <c r="P277" s="218"/>
      <c r="Q277" s="218"/>
      <c r="R277" s="218"/>
      <c r="S277" s="223"/>
      <c r="T277" s="260"/>
    </row>
    <row r="278" spans="1:20">
      <c r="A278" s="236"/>
      <c r="B278" s="222" t="s">
        <v>427</v>
      </c>
      <c r="C278" s="214" t="s">
        <v>48</v>
      </c>
      <c r="D278" s="218"/>
      <c r="E278" s="218"/>
      <c r="F278" s="218"/>
      <c r="G278" s="218"/>
      <c r="H278" s="218"/>
      <c r="I278" s="218"/>
      <c r="J278" s="218"/>
      <c r="K278" s="218"/>
      <c r="L278" s="218"/>
      <c r="M278" s="218"/>
      <c r="N278" s="218"/>
      <c r="O278" s="218"/>
      <c r="P278" s="218"/>
      <c r="Q278" s="218"/>
      <c r="R278" s="218"/>
      <c r="S278" s="223"/>
      <c r="T278" s="260"/>
    </row>
    <row r="279" spans="1:20">
      <c r="A279" s="236"/>
      <c r="B279" s="222" t="s">
        <v>428</v>
      </c>
      <c r="C279" s="214" t="s">
        <v>48</v>
      </c>
      <c r="D279" s="218"/>
      <c r="E279" s="218"/>
      <c r="F279" s="218"/>
      <c r="G279" s="218"/>
      <c r="H279" s="218"/>
      <c r="I279" s="218"/>
      <c r="J279" s="218"/>
      <c r="K279" s="218"/>
      <c r="L279" s="218"/>
      <c r="M279" s="218"/>
      <c r="N279" s="218"/>
      <c r="O279" s="218"/>
      <c r="P279" s="218"/>
      <c r="Q279" s="218"/>
      <c r="R279" s="218"/>
      <c r="S279" s="223"/>
      <c r="T279" s="260"/>
    </row>
    <row r="280" spans="1:20">
      <c r="A280" s="236"/>
      <c r="B280" s="222" t="s">
        <v>429</v>
      </c>
      <c r="C280" s="214" t="s">
        <v>48</v>
      </c>
      <c r="D280" s="218"/>
      <c r="E280" s="218"/>
      <c r="F280" s="218"/>
      <c r="G280" s="218"/>
      <c r="H280" s="218"/>
      <c r="I280" s="218"/>
      <c r="J280" s="218"/>
      <c r="K280" s="218"/>
      <c r="L280" s="218"/>
      <c r="M280" s="218"/>
      <c r="N280" s="218"/>
      <c r="O280" s="218"/>
      <c r="P280" s="218"/>
      <c r="Q280" s="218"/>
      <c r="R280" s="218"/>
      <c r="S280" s="223"/>
      <c r="T280" s="260"/>
    </row>
    <row r="281" spans="1:20">
      <c r="A281" s="236"/>
      <c r="B281" s="222" t="s">
        <v>430</v>
      </c>
      <c r="C281" s="214" t="s">
        <v>48</v>
      </c>
      <c r="D281" s="218">
        <v>18</v>
      </c>
      <c r="E281" s="218">
        <v>18</v>
      </c>
      <c r="F281" s="218">
        <v>18</v>
      </c>
      <c r="G281" s="218">
        <v>18</v>
      </c>
      <c r="H281" s="218">
        <v>18</v>
      </c>
      <c r="I281" s="218">
        <v>18</v>
      </c>
      <c r="J281" s="218">
        <v>18</v>
      </c>
      <c r="K281" s="218">
        <v>18</v>
      </c>
      <c r="L281" s="218">
        <v>18</v>
      </c>
      <c r="M281" s="218">
        <v>18</v>
      </c>
      <c r="N281" s="218">
        <v>18</v>
      </c>
      <c r="O281" s="218">
        <v>18</v>
      </c>
      <c r="P281" s="218">
        <v>18</v>
      </c>
      <c r="Q281" s="218">
        <v>18</v>
      </c>
      <c r="R281" s="218">
        <v>18</v>
      </c>
      <c r="S281" s="223">
        <v>18</v>
      </c>
      <c r="T281" s="260"/>
    </row>
    <row r="282" spans="1:20">
      <c r="A282" s="236"/>
      <c r="B282" s="228" t="s">
        <v>431</v>
      </c>
      <c r="C282" s="214" t="s">
        <v>48</v>
      </c>
      <c r="D282" s="218"/>
      <c r="E282" s="218"/>
      <c r="F282" s="218"/>
      <c r="G282" s="218"/>
      <c r="H282" s="218"/>
      <c r="I282" s="218"/>
      <c r="J282" s="218"/>
      <c r="K282" s="218"/>
      <c r="L282" s="218"/>
      <c r="M282" s="218"/>
      <c r="N282" s="218"/>
      <c r="O282" s="218"/>
      <c r="P282" s="218"/>
      <c r="Q282" s="218"/>
      <c r="R282" s="218"/>
      <c r="S282" s="223"/>
      <c r="T282" s="260"/>
    </row>
    <row r="283" spans="1:20" ht="12.75" thickBot="1">
      <c r="A283" s="236"/>
      <c r="B283" s="439" t="s">
        <v>342</v>
      </c>
      <c r="C283" s="214" t="s">
        <v>48</v>
      </c>
      <c r="D283" s="415"/>
      <c r="E283" s="415"/>
      <c r="F283" s="415"/>
      <c r="G283" s="415"/>
      <c r="H283" s="415"/>
      <c r="I283" s="415"/>
      <c r="J283" s="415"/>
      <c r="K283" s="415"/>
      <c r="L283" s="415"/>
      <c r="M283" s="415"/>
      <c r="N283" s="415"/>
      <c r="O283" s="415"/>
      <c r="P283" s="415"/>
      <c r="Q283" s="415"/>
      <c r="R283" s="415"/>
      <c r="S283" s="429"/>
      <c r="T283" s="260"/>
    </row>
    <row r="284" spans="1:20">
      <c r="B284" s="224" t="s">
        <v>215</v>
      </c>
      <c r="C284" s="221" t="s">
        <v>121</v>
      </c>
      <c r="D284" s="470">
        <f>D286+D285</f>
        <v>2198000</v>
      </c>
      <c r="E284" s="470">
        <f t="shared" ref="E284:S284" si="55">E286+E285</f>
        <v>2199816.3772954927</v>
      </c>
      <c r="F284" s="470">
        <f t="shared" si="55"/>
        <v>2199816.3772954927</v>
      </c>
      <c r="G284" s="470">
        <f t="shared" si="55"/>
        <v>2199816.3772954927</v>
      </c>
      <c r="H284" s="470">
        <f t="shared" si="55"/>
        <v>2199816.3772954927</v>
      </c>
      <c r="I284" s="470">
        <f t="shared" si="55"/>
        <v>2199816.3772954927</v>
      </c>
      <c r="J284" s="470">
        <f t="shared" si="55"/>
        <v>2199816.3772954927</v>
      </c>
      <c r="K284" s="470">
        <f t="shared" si="55"/>
        <v>2199816.3772954927</v>
      </c>
      <c r="L284" s="470">
        <f t="shared" si="55"/>
        <v>2199816.3772954927</v>
      </c>
      <c r="M284" s="470">
        <f t="shared" si="55"/>
        <v>2199816.3772954927</v>
      </c>
      <c r="N284" s="470">
        <f t="shared" si="55"/>
        <v>2199816.3772954927</v>
      </c>
      <c r="O284" s="470">
        <f t="shared" si="55"/>
        <v>2199816.3772954927</v>
      </c>
      <c r="P284" s="470">
        <f t="shared" si="55"/>
        <v>2199816.3772954927</v>
      </c>
      <c r="Q284" s="470">
        <f t="shared" si="55"/>
        <v>2199816.3772954927</v>
      </c>
      <c r="R284" s="470">
        <f t="shared" si="55"/>
        <v>2199816.3772954927</v>
      </c>
      <c r="S284" s="471">
        <f t="shared" si="55"/>
        <v>2199816.3772954927</v>
      </c>
      <c r="T284" s="12"/>
    </row>
    <row r="285" spans="1:20">
      <c r="B285" s="222" t="s">
        <v>478</v>
      </c>
      <c r="C285" s="214" t="s">
        <v>121</v>
      </c>
      <c r="D285" s="83">
        <v>1198000</v>
      </c>
      <c r="E285" s="83">
        <v>1198990</v>
      </c>
      <c r="F285" s="83">
        <v>1198990</v>
      </c>
      <c r="G285" s="83">
        <v>1198990</v>
      </c>
      <c r="H285" s="83">
        <v>1198990</v>
      </c>
      <c r="I285" s="83">
        <v>1198990</v>
      </c>
      <c r="J285" s="83">
        <v>1198990</v>
      </c>
      <c r="K285" s="83">
        <v>1198990</v>
      </c>
      <c r="L285" s="83">
        <v>1198990</v>
      </c>
      <c r="M285" s="83">
        <v>1198990</v>
      </c>
      <c r="N285" s="83">
        <v>1198990</v>
      </c>
      <c r="O285" s="83">
        <v>1198990</v>
      </c>
      <c r="P285" s="83">
        <v>1198990</v>
      </c>
      <c r="Q285" s="83">
        <v>1198990</v>
      </c>
      <c r="R285" s="83">
        <v>1198990</v>
      </c>
      <c r="S285" s="226">
        <v>1198990</v>
      </c>
      <c r="T285" s="179"/>
    </row>
    <row r="286" spans="1:20">
      <c r="B286" s="536" t="s">
        <v>472</v>
      </c>
      <c r="C286" s="214" t="s">
        <v>121</v>
      </c>
      <c r="D286" s="443">
        <f>D287+D288+D289</f>
        <v>1000000</v>
      </c>
      <c r="E286" s="443">
        <f t="shared" ref="E286:S286" si="56">E287+E288+E289</f>
        <v>1000826.3772954926</v>
      </c>
      <c r="F286" s="443">
        <f t="shared" si="56"/>
        <v>1000826.3772954926</v>
      </c>
      <c r="G286" s="443">
        <f t="shared" si="56"/>
        <v>1000826.3772954926</v>
      </c>
      <c r="H286" s="443">
        <f t="shared" si="56"/>
        <v>1000826.3772954926</v>
      </c>
      <c r="I286" s="443">
        <f t="shared" si="56"/>
        <v>1000826.3772954926</v>
      </c>
      <c r="J286" s="443">
        <f t="shared" si="56"/>
        <v>1000826.3772954926</v>
      </c>
      <c r="K286" s="443">
        <f t="shared" si="56"/>
        <v>1000826.3772954926</v>
      </c>
      <c r="L286" s="443">
        <f t="shared" si="56"/>
        <v>1000826.3772954926</v>
      </c>
      <c r="M286" s="443">
        <f t="shared" si="56"/>
        <v>1000826.3772954926</v>
      </c>
      <c r="N286" s="443">
        <f t="shared" si="56"/>
        <v>1000826.3772954926</v>
      </c>
      <c r="O286" s="443">
        <f t="shared" si="56"/>
        <v>1000826.3772954926</v>
      </c>
      <c r="P286" s="443">
        <f t="shared" si="56"/>
        <v>1000826.3772954926</v>
      </c>
      <c r="Q286" s="443">
        <f t="shared" si="56"/>
        <v>1000826.3772954926</v>
      </c>
      <c r="R286" s="443">
        <f t="shared" si="56"/>
        <v>1000826.3772954926</v>
      </c>
      <c r="S286" s="445">
        <f t="shared" si="56"/>
        <v>1000826.3772954926</v>
      </c>
      <c r="T286" s="12"/>
    </row>
    <row r="287" spans="1:20">
      <c r="B287" s="222" t="s">
        <v>209</v>
      </c>
      <c r="C287" s="214" t="s">
        <v>121</v>
      </c>
      <c r="D287" s="83">
        <v>1000000</v>
      </c>
      <c r="E287" s="83">
        <v>1000826.3772954926</v>
      </c>
      <c r="F287" s="83">
        <v>1000826.3772954926</v>
      </c>
      <c r="G287" s="83">
        <v>1000826.3772954926</v>
      </c>
      <c r="H287" s="83">
        <v>1000826.3772954926</v>
      </c>
      <c r="I287" s="83">
        <v>1000826.3772954926</v>
      </c>
      <c r="J287" s="83">
        <v>1000826.3772954926</v>
      </c>
      <c r="K287" s="83">
        <v>1000826.3772954926</v>
      </c>
      <c r="L287" s="83">
        <v>1000826.3772954926</v>
      </c>
      <c r="M287" s="83">
        <v>1000826.3772954926</v>
      </c>
      <c r="N287" s="83">
        <v>1000826.3772954926</v>
      </c>
      <c r="O287" s="83">
        <v>1000826.3772954926</v>
      </c>
      <c r="P287" s="83">
        <v>1000826.3772954926</v>
      </c>
      <c r="Q287" s="83">
        <v>1000826.3772954926</v>
      </c>
      <c r="R287" s="83">
        <v>1000826.3772954926</v>
      </c>
      <c r="S287" s="226">
        <v>1000826.3772954926</v>
      </c>
      <c r="T287" s="179"/>
    </row>
    <row r="288" spans="1:20">
      <c r="B288" s="222" t="s">
        <v>408</v>
      </c>
      <c r="C288" s="214" t="s">
        <v>121</v>
      </c>
      <c r="D288" s="83"/>
      <c r="E288" s="83"/>
      <c r="F288" s="83"/>
      <c r="G288" s="83"/>
      <c r="H288" s="83"/>
      <c r="I288" s="83"/>
      <c r="J288" s="83"/>
      <c r="K288" s="83"/>
      <c r="L288" s="83"/>
      <c r="M288" s="83"/>
      <c r="N288" s="83"/>
      <c r="O288" s="83"/>
      <c r="P288" s="83"/>
      <c r="Q288" s="83"/>
      <c r="R288" s="83"/>
      <c r="S288" s="226"/>
      <c r="T288" s="179"/>
    </row>
    <row r="289" spans="1:20" ht="12.75" thickBot="1">
      <c r="B289" s="222" t="s">
        <v>342</v>
      </c>
      <c r="C289" s="214" t="s">
        <v>121</v>
      </c>
      <c r="D289" s="83"/>
      <c r="E289" s="83"/>
      <c r="F289" s="83"/>
      <c r="G289" s="83"/>
      <c r="H289" s="83"/>
      <c r="I289" s="83"/>
      <c r="J289" s="83"/>
      <c r="K289" s="83"/>
      <c r="L289" s="83"/>
      <c r="M289" s="83"/>
      <c r="N289" s="83"/>
      <c r="O289" s="83"/>
      <c r="P289" s="83"/>
      <c r="Q289" s="83"/>
      <c r="R289" s="83"/>
      <c r="S289" s="226"/>
      <c r="T289" s="179"/>
    </row>
    <row r="290" spans="1:20">
      <c r="B290" s="536" t="s">
        <v>472</v>
      </c>
      <c r="C290" s="221" t="s">
        <v>395</v>
      </c>
      <c r="D290" s="470"/>
      <c r="E290" s="470"/>
      <c r="F290" s="470"/>
      <c r="G290" s="470"/>
      <c r="H290" s="470"/>
      <c r="I290" s="470"/>
      <c r="J290" s="470"/>
      <c r="K290" s="470"/>
      <c r="L290" s="470"/>
      <c r="M290" s="470"/>
      <c r="N290" s="470"/>
      <c r="O290" s="470"/>
      <c r="P290" s="470"/>
      <c r="Q290" s="470"/>
      <c r="R290" s="470"/>
      <c r="S290" s="471"/>
      <c r="T290" s="12"/>
    </row>
    <row r="291" spans="1:20">
      <c r="B291" s="222" t="s">
        <v>478</v>
      </c>
      <c r="C291" s="214" t="s">
        <v>395</v>
      </c>
      <c r="D291" s="588">
        <f>D285/D273</f>
        <v>52086.956521739128</v>
      </c>
      <c r="E291" s="588">
        <f t="shared" ref="E291:S291" si="57">E285/E273</f>
        <v>52130</v>
      </c>
      <c r="F291" s="588">
        <f t="shared" si="57"/>
        <v>52130</v>
      </c>
      <c r="G291" s="588">
        <f t="shared" si="57"/>
        <v>52130</v>
      </c>
      <c r="H291" s="588">
        <f t="shared" si="57"/>
        <v>52130</v>
      </c>
      <c r="I291" s="588">
        <f t="shared" si="57"/>
        <v>52130</v>
      </c>
      <c r="J291" s="588">
        <f t="shared" si="57"/>
        <v>52130</v>
      </c>
      <c r="K291" s="588">
        <f t="shared" si="57"/>
        <v>52130</v>
      </c>
      <c r="L291" s="588">
        <f t="shared" si="57"/>
        <v>52130</v>
      </c>
      <c r="M291" s="588">
        <f t="shared" si="57"/>
        <v>52130</v>
      </c>
      <c r="N291" s="588">
        <f t="shared" si="57"/>
        <v>52130</v>
      </c>
      <c r="O291" s="588">
        <f t="shared" si="57"/>
        <v>52130</v>
      </c>
      <c r="P291" s="588">
        <f t="shared" si="57"/>
        <v>52130</v>
      </c>
      <c r="Q291" s="588">
        <f t="shared" si="57"/>
        <v>52130</v>
      </c>
      <c r="R291" s="588">
        <f t="shared" si="57"/>
        <v>52130</v>
      </c>
      <c r="S291" s="592">
        <f t="shared" si="57"/>
        <v>52130</v>
      </c>
      <c r="T291" s="12"/>
    </row>
    <row r="292" spans="1:20">
      <c r="B292" s="222" t="s">
        <v>209</v>
      </c>
      <c r="C292" s="214" t="s">
        <v>395</v>
      </c>
      <c r="D292" s="589">
        <f>D287/(D275-D282)</f>
        <v>55555.555555555555</v>
      </c>
      <c r="E292" s="589">
        <f t="shared" ref="E292:S292" si="58">E287/(E275-E282)</f>
        <v>55601.465405305142</v>
      </c>
      <c r="F292" s="589">
        <f t="shared" si="58"/>
        <v>55601.465405305142</v>
      </c>
      <c r="G292" s="589">
        <f t="shared" si="58"/>
        <v>55601.465405305142</v>
      </c>
      <c r="H292" s="589">
        <f t="shared" si="58"/>
        <v>55601.465405305142</v>
      </c>
      <c r="I292" s="589">
        <f t="shared" si="58"/>
        <v>55601.465405305142</v>
      </c>
      <c r="J292" s="589">
        <f t="shared" si="58"/>
        <v>55601.465405305142</v>
      </c>
      <c r="K292" s="589">
        <f t="shared" si="58"/>
        <v>55601.465405305142</v>
      </c>
      <c r="L292" s="589">
        <f t="shared" si="58"/>
        <v>55601.465405305142</v>
      </c>
      <c r="M292" s="589">
        <f t="shared" si="58"/>
        <v>55601.465405305142</v>
      </c>
      <c r="N292" s="589">
        <f t="shared" si="58"/>
        <v>55601.465405305142</v>
      </c>
      <c r="O292" s="589">
        <f t="shared" si="58"/>
        <v>55601.465405305142</v>
      </c>
      <c r="P292" s="589">
        <f t="shared" si="58"/>
        <v>55601.465405305142</v>
      </c>
      <c r="Q292" s="589">
        <f t="shared" si="58"/>
        <v>55601.465405305142</v>
      </c>
      <c r="R292" s="589">
        <f t="shared" si="58"/>
        <v>55601.465405305142</v>
      </c>
      <c r="S292" s="593">
        <f t="shared" si="58"/>
        <v>55601.465405305142</v>
      </c>
      <c r="T292" s="179"/>
    </row>
    <row r="293" spans="1:20">
      <c r="B293" s="222" t="s">
        <v>408</v>
      </c>
      <c r="C293" s="214" t="s">
        <v>395</v>
      </c>
      <c r="D293" s="589"/>
      <c r="E293" s="589"/>
      <c r="F293" s="589"/>
      <c r="G293" s="589"/>
      <c r="H293" s="589"/>
      <c r="I293" s="589"/>
      <c r="J293" s="589"/>
      <c r="K293" s="589"/>
      <c r="L293" s="589"/>
      <c r="M293" s="589"/>
      <c r="N293" s="589"/>
      <c r="O293" s="589"/>
      <c r="P293" s="589"/>
      <c r="Q293" s="589"/>
      <c r="R293" s="589"/>
      <c r="S293" s="593"/>
      <c r="T293" s="179"/>
    </row>
    <row r="294" spans="1:20">
      <c r="B294" s="222" t="s">
        <v>344</v>
      </c>
      <c r="C294" s="214" t="s">
        <v>395</v>
      </c>
      <c r="D294" s="83"/>
      <c r="E294" s="83"/>
      <c r="F294" s="83"/>
      <c r="G294" s="83"/>
      <c r="H294" s="83"/>
      <c r="I294" s="83"/>
      <c r="J294" s="83"/>
      <c r="K294" s="83"/>
      <c r="L294" s="83"/>
      <c r="M294" s="83"/>
      <c r="N294" s="83"/>
      <c r="O294" s="83"/>
      <c r="P294" s="83"/>
      <c r="Q294" s="83"/>
      <c r="R294" s="83"/>
      <c r="S294" s="226"/>
      <c r="T294" s="179"/>
    </row>
    <row r="295" spans="1:20" ht="12.75" thickBot="1">
      <c r="B295" s="472" t="s">
        <v>298</v>
      </c>
      <c r="C295" s="469" t="s">
        <v>28</v>
      </c>
      <c r="D295" s="473">
        <v>7.3170731707317069E-2</v>
      </c>
      <c r="E295" s="473">
        <v>1.0731707317073171</v>
      </c>
      <c r="F295" s="473">
        <v>2.0731707317073171</v>
      </c>
      <c r="G295" s="473">
        <v>3.0731707317073171</v>
      </c>
      <c r="H295" s="473">
        <v>4.0731707317073171</v>
      </c>
      <c r="I295" s="473">
        <v>5.0731707317073171</v>
      </c>
      <c r="J295" s="473">
        <v>6.0731707317073171</v>
      </c>
      <c r="K295" s="473">
        <v>1</v>
      </c>
      <c r="L295" s="473">
        <v>2</v>
      </c>
      <c r="M295" s="473">
        <v>3</v>
      </c>
      <c r="N295" s="473">
        <v>4</v>
      </c>
      <c r="O295" s="473">
        <v>5</v>
      </c>
      <c r="P295" s="473">
        <v>6</v>
      </c>
      <c r="Q295" s="473">
        <v>7</v>
      </c>
      <c r="R295" s="473">
        <v>8</v>
      </c>
      <c r="S295" s="474">
        <v>1</v>
      </c>
      <c r="T295" s="179"/>
    </row>
    <row r="296" spans="1:20" s="6" customFormat="1">
      <c r="B296" s="4"/>
      <c r="C296" s="200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79"/>
      <c r="O296" s="179"/>
      <c r="P296" s="179"/>
      <c r="Q296" s="179"/>
      <c r="R296" s="179"/>
      <c r="S296" s="179"/>
      <c r="T296" s="179"/>
    </row>
    <row r="297" spans="1:20" ht="12.75" thickBot="1">
      <c r="B297" s="212" t="s">
        <v>437</v>
      </c>
      <c r="C297" s="187"/>
      <c r="D297" s="219"/>
      <c r="E297" s="219"/>
      <c r="F297" s="219"/>
      <c r="G297" s="219"/>
      <c r="H297" s="219"/>
      <c r="I297" s="219"/>
      <c r="J297" s="219"/>
      <c r="K297" s="219"/>
      <c r="L297" s="219"/>
      <c r="M297" s="219"/>
      <c r="N297" s="219"/>
      <c r="O297" s="219"/>
      <c r="P297" s="219"/>
      <c r="Q297" s="219"/>
      <c r="R297" s="219"/>
      <c r="S297" s="219"/>
      <c r="T297" s="4"/>
    </row>
    <row r="298" spans="1:20">
      <c r="B298" s="224" t="s">
        <v>216</v>
      </c>
      <c r="C298" s="221" t="s">
        <v>48</v>
      </c>
      <c r="D298" s="225"/>
      <c r="E298" s="225"/>
      <c r="F298" s="225"/>
      <c r="G298" s="225"/>
      <c r="H298" s="225"/>
      <c r="I298" s="225"/>
      <c r="J298" s="225"/>
      <c r="K298" s="225"/>
      <c r="L298" s="225"/>
      <c r="M298" s="225"/>
      <c r="N298" s="225"/>
      <c r="O298" s="225"/>
      <c r="P298" s="225"/>
      <c r="Q298" s="225"/>
      <c r="R298" s="225"/>
      <c r="S298" s="263"/>
      <c r="T298" s="12"/>
    </row>
    <row r="299" spans="1:20">
      <c r="B299" s="222" t="s">
        <v>254</v>
      </c>
      <c r="C299" s="214" t="s">
        <v>48</v>
      </c>
      <c r="D299" s="83">
        <v>0</v>
      </c>
      <c r="E299" s="83">
        <v>0</v>
      </c>
      <c r="F299" s="83">
        <v>0</v>
      </c>
      <c r="G299" s="83">
        <v>0</v>
      </c>
      <c r="H299" s="83">
        <v>0</v>
      </c>
      <c r="I299" s="83">
        <v>0</v>
      </c>
      <c r="J299" s="83">
        <v>41</v>
      </c>
      <c r="K299" s="83">
        <v>0</v>
      </c>
      <c r="L299" s="83">
        <v>0</v>
      </c>
      <c r="M299" s="83">
        <v>0</v>
      </c>
      <c r="N299" s="83">
        <v>0</v>
      </c>
      <c r="O299" s="83">
        <v>0</v>
      </c>
      <c r="P299" s="83">
        <v>0</v>
      </c>
      <c r="Q299" s="83">
        <v>0</v>
      </c>
      <c r="R299" s="83">
        <v>29</v>
      </c>
      <c r="S299" s="226">
        <v>0</v>
      </c>
      <c r="T299" s="43"/>
    </row>
    <row r="300" spans="1:20">
      <c r="A300" s="219"/>
      <c r="B300" s="222" t="s">
        <v>345</v>
      </c>
      <c r="C300" s="214" t="s">
        <v>48</v>
      </c>
      <c r="D300" s="83">
        <v>0</v>
      </c>
      <c r="E300" s="83">
        <v>0</v>
      </c>
      <c r="F300" s="442">
        <v>0</v>
      </c>
      <c r="G300" s="442">
        <v>0</v>
      </c>
      <c r="H300" s="442">
        <v>0</v>
      </c>
      <c r="I300" s="442">
        <v>0</v>
      </c>
      <c r="J300" s="442">
        <v>43</v>
      </c>
      <c r="K300" s="442">
        <v>0</v>
      </c>
      <c r="L300" s="442">
        <v>0</v>
      </c>
      <c r="M300" s="442">
        <v>0</v>
      </c>
      <c r="N300" s="442">
        <v>0</v>
      </c>
      <c r="O300" s="442">
        <v>0</v>
      </c>
      <c r="P300" s="442">
        <v>0</v>
      </c>
      <c r="Q300" s="442">
        <v>0</v>
      </c>
      <c r="R300" s="442">
        <v>29</v>
      </c>
      <c r="S300" s="444">
        <v>0</v>
      </c>
      <c r="T300" s="258"/>
    </row>
    <row r="301" spans="1:20">
      <c r="B301" s="228" t="s">
        <v>449</v>
      </c>
      <c r="C301" s="227" t="s">
        <v>48</v>
      </c>
      <c r="D301" s="446">
        <f>D303+D302</f>
        <v>41</v>
      </c>
      <c r="E301" s="446">
        <f t="shared" ref="E301" si="59">E303+E302</f>
        <v>41</v>
      </c>
      <c r="F301" s="446">
        <f t="shared" ref="F301" si="60">F303+F302</f>
        <v>41</v>
      </c>
      <c r="G301" s="446">
        <f t="shared" ref="G301" si="61">G303+G302</f>
        <v>41</v>
      </c>
      <c r="H301" s="446">
        <f t="shared" ref="H301" si="62">H303+H302</f>
        <v>41</v>
      </c>
      <c r="I301" s="446">
        <f t="shared" ref="I301" si="63">I303+I302</f>
        <v>41</v>
      </c>
      <c r="J301" s="446">
        <f t="shared" ref="J301" si="64">J303+J302</f>
        <v>41</v>
      </c>
      <c r="K301" s="446">
        <f t="shared" ref="K301" si="65">K303+K302</f>
        <v>43</v>
      </c>
      <c r="L301" s="446">
        <f t="shared" ref="L301" si="66">L303+L302</f>
        <v>43</v>
      </c>
      <c r="M301" s="446">
        <f t="shared" ref="M301" si="67">M303+M302</f>
        <v>43</v>
      </c>
      <c r="N301" s="446">
        <f t="shared" ref="N301" si="68">N303+N302</f>
        <v>43</v>
      </c>
      <c r="O301" s="446">
        <f t="shared" ref="O301" si="69">O303+O302</f>
        <v>43</v>
      </c>
      <c r="P301" s="446">
        <f t="shared" ref="P301" si="70">P303+P302</f>
        <v>43</v>
      </c>
      <c r="Q301" s="446">
        <f t="shared" ref="Q301" si="71">Q303+Q302</f>
        <v>43</v>
      </c>
      <c r="R301" s="446">
        <f t="shared" ref="R301" si="72">R303+R302</f>
        <v>43</v>
      </c>
      <c r="S301" s="590">
        <f t="shared" ref="S301" si="73">S303+S302</f>
        <v>43</v>
      </c>
      <c r="T301" s="259"/>
    </row>
    <row r="302" spans="1:20" ht="12.75" thickBot="1">
      <c r="B302" s="591" t="s">
        <v>477</v>
      </c>
      <c r="C302" s="214" t="s">
        <v>48</v>
      </c>
      <c r="D302" s="415">
        <v>23</v>
      </c>
      <c r="E302" s="415">
        <v>23</v>
      </c>
      <c r="F302" s="415">
        <v>23</v>
      </c>
      <c r="G302" s="415">
        <v>23</v>
      </c>
      <c r="H302" s="415">
        <v>23</v>
      </c>
      <c r="I302" s="415">
        <v>23</v>
      </c>
      <c r="J302" s="415">
        <v>23</v>
      </c>
      <c r="K302" s="415">
        <v>16</v>
      </c>
      <c r="L302" s="415">
        <v>16</v>
      </c>
      <c r="M302" s="415">
        <v>16</v>
      </c>
      <c r="N302" s="415">
        <v>16</v>
      </c>
      <c r="O302" s="415">
        <v>16</v>
      </c>
      <c r="P302" s="415">
        <v>16</v>
      </c>
      <c r="Q302" s="415">
        <v>16</v>
      </c>
      <c r="R302" s="415">
        <v>16</v>
      </c>
      <c r="S302" s="429">
        <v>16</v>
      </c>
      <c r="T302" s="259"/>
    </row>
    <row r="303" spans="1:20">
      <c r="B303" s="536" t="s">
        <v>472</v>
      </c>
      <c r="C303" s="221" t="s">
        <v>48</v>
      </c>
      <c r="D303" s="229">
        <f>D304+D312</f>
        <v>18</v>
      </c>
      <c r="E303" s="229">
        <f t="shared" ref="E303:S303" si="74">E304+E312</f>
        <v>18</v>
      </c>
      <c r="F303" s="229">
        <f t="shared" si="74"/>
        <v>18</v>
      </c>
      <c r="G303" s="229">
        <f t="shared" si="74"/>
        <v>18</v>
      </c>
      <c r="H303" s="229">
        <f t="shared" si="74"/>
        <v>18</v>
      </c>
      <c r="I303" s="229">
        <f t="shared" si="74"/>
        <v>18</v>
      </c>
      <c r="J303" s="229">
        <f t="shared" si="74"/>
        <v>18</v>
      </c>
      <c r="K303" s="229">
        <f t="shared" si="74"/>
        <v>27</v>
      </c>
      <c r="L303" s="229">
        <f t="shared" si="74"/>
        <v>27</v>
      </c>
      <c r="M303" s="229">
        <f t="shared" si="74"/>
        <v>27</v>
      </c>
      <c r="N303" s="229">
        <f t="shared" si="74"/>
        <v>27</v>
      </c>
      <c r="O303" s="229">
        <f t="shared" si="74"/>
        <v>27</v>
      </c>
      <c r="P303" s="229">
        <f t="shared" si="74"/>
        <v>27</v>
      </c>
      <c r="Q303" s="229">
        <f t="shared" si="74"/>
        <v>27</v>
      </c>
      <c r="R303" s="229">
        <f t="shared" si="74"/>
        <v>27</v>
      </c>
      <c r="S303" s="230">
        <f t="shared" si="74"/>
        <v>27</v>
      </c>
      <c r="T303" s="259"/>
    </row>
    <row r="304" spans="1:20">
      <c r="A304" s="236"/>
      <c r="B304" s="439" t="s">
        <v>343</v>
      </c>
      <c r="C304" s="214" t="s">
        <v>48</v>
      </c>
      <c r="D304" s="415">
        <f>SUM(D305:D311)</f>
        <v>18</v>
      </c>
      <c r="E304" s="415">
        <f t="shared" ref="E304:S304" si="75">SUM(E305:E311)</f>
        <v>18</v>
      </c>
      <c r="F304" s="415">
        <f t="shared" si="75"/>
        <v>18</v>
      </c>
      <c r="G304" s="415">
        <f t="shared" si="75"/>
        <v>18</v>
      </c>
      <c r="H304" s="415">
        <f t="shared" si="75"/>
        <v>18</v>
      </c>
      <c r="I304" s="415">
        <f t="shared" si="75"/>
        <v>18</v>
      </c>
      <c r="J304" s="415">
        <f t="shared" si="75"/>
        <v>18</v>
      </c>
      <c r="K304" s="415">
        <f t="shared" si="75"/>
        <v>13</v>
      </c>
      <c r="L304" s="415">
        <f t="shared" si="75"/>
        <v>13</v>
      </c>
      <c r="M304" s="415">
        <f t="shared" si="75"/>
        <v>13</v>
      </c>
      <c r="N304" s="415">
        <f t="shared" si="75"/>
        <v>13</v>
      </c>
      <c r="O304" s="415">
        <f t="shared" si="75"/>
        <v>13</v>
      </c>
      <c r="P304" s="415">
        <f t="shared" si="75"/>
        <v>13</v>
      </c>
      <c r="Q304" s="415">
        <f t="shared" si="75"/>
        <v>13</v>
      </c>
      <c r="R304" s="415">
        <f t="shared" si="75"/>
        <v>13</v>
      </c>
      <c r="S304" s="429">
        <f t="shared" si="75"/>
        <v>13</v>
      </c>
      <c r="T304" s="260"/>
    </row>
    <row r="305" spans="1:20">
      <c r="A305" s="236"/>
      <c r="B305" s="222" t="s">
        <v>426</v>
      </c>
      <c r="C305" s="214" t="s">
        <v>48</v>
      </c>
      <c r="D305" s="218"/>
      <c r="E305" s="218"/>
      <c r="F305" s="218"/>
      <c r="G305" s="218"/>
      <c r="H305" s="218"/>
      <c r="I305" s="218"/>
      <c r="J305" s="218"/>
      <c r="K305" s="218"/>
      <c r="L305" s="218"/>
      <c r="M305" s="218"/>
      <c r="N305" s="218"/>
      <c r="O305" s="218"/>
      <c r="P305" s="218"/>
      <c r="Q305" s="218"/>
      <c r="R305" s="218"/>
      <c r="S305" s="223"/>
      <c r="T305" s="259"/>
    </row>
    <row r="306" spans="1:20">
      <c r="A306" s="236"/>
      <c r="B306" s="222" t="s">
        <v>432</v>
      </c>
      <c r="C306" s="214" t="s">
        <v>48</v>
      </c>
      <c r="D306" s="218"/>
      <c r="E306" s="218"/>
      <c r="F306" s="218"/>
      <c r="G306" s="218"/>
      <c r="H306" s="218"/>
      <c r="I306" s="218"/>
      <c r="J306" s="218"/>
      <c r="K306" s="218"/>
      <c r="L306" s="218"/>
      <c r="M306" s="218"/>
      <c r="N306" s="218"/>
      <c r="O306" s="218"/>
      <c r="P306" s="218"/>
      <c r="Q306" s="218"/>
      <c r="R306" s="218"/>
      <c r="S306" s="223"/>
      <c r="T306" s="260"/>
    </row>
    <row r="307" spans="1:20">
      <c r="A307" s="236"/>
      <c r="B307" s="222" t="s">
        <v>427</v>
      </c>
      <c r="C307" s="214" t="s">
        <v>48</v>
      </c>
      <c r="D307" s="218"/>
      <c r="E307" s="218"/>
      <c r="F307" s="218"/>
      <c r="G307" s="218"/>
      <c r="H307" s="218"/>
      <c r="I307" s="218"/>
      <c r="J307" s="218"/>
      <c r="K307" s="218"/>
      <c r="L307" s="218"/>
      <c r="M307" s="218"/>
      <c r="N307" s="218"/>
      <c r="O307" s="218"/>
      <c r="P307" s="218"/>
      <c r="Q307" s="218"/>
      <c r="R307" s="218"/>
      <c r="S307" s="223"/>
      <c r="T307" s="260"/>
    </row>
    <row r="308" spans="1:20">
      <c r="A308" s="236"/>
      <c r="B308" s="222" t="s">
        <v>428</v>
      </c>
      <c r="C308" s="214" t="s">
        <v>48</v>
      </c>
      <c r="D308" s="218"/>
      <c r="E308" s="218"/>
      <c r="F308" s="218"/>
      <c r="G308" s="218"/>
      <c r="H308" s="218"/>
      <c r="I308" s="218"/>
      <c r="J308" s="218"/>
      <c r="K308" s="218"/>
      <c r="L308" s="218"/>
      <c r="M308" s="218"/>
      <c r="N308" s="218"/>
      <c r="O308" s="218"/>
      <c r="P308" s="218"/>
      <c r="Q308" s="218"/>
      <c r="R308" s="218"/>
      <c r="S308" s="223"/>
      <c r="T308" s="260"/>
    </row>
    <row r="309" spans="1:20">
      <c r="A309" s="236"/>
      <c r="B309" s="222" t="s">
        <v>429</v>
      </c>
      <c r="C309" s="214" t="s">
        <v>48</v>
      </c>
      <c r="D309" s="218"/>
      <c r="E309" s="218"/>
      <c r="F309" s="218"/>
      <c r="G309" s="218"/>
      <c r="H309" s="218"/>
      <c r="I309" s="218"/>
      <c r="J309" s="218"/>
      <c r="K309" s="218"/>
      <c r="L309" s="218"/>
      <c r="M309" s="218"/>
      <c r="N309" s="218"/>
      <c r="O309" s="218"/>
      <c r="P309" s="218"/>
      <c r="Q309" s="218"/>
      <c r="R309" s="218"/>
      <c r="S309" s="223"/>
      <c r="T309" s="260"/>
    </row>
    <row r="310" spans="1:20">
      <c r="A310" s="236"/>
      <c r="B310" s="222" t="s">
        <v>430</v>
      </c>
      <c r="C310" s="214" t="s">
        <v>48</v>
      </c>
      <c r="D310" s="218">
        <v>18</v>
      </c>
      <c r="E310" s="218">
        <v>18</v>
      </c>
      <c r="F310" s="218">
        <v>18</v>
      </c>
      <c r="G310" s="218">
        <v>18</v>
      </c>
      <c r="H310" s="218">
        <v>18</v>
      </c>
      <c r="I310" s="218">
        <v>18</v>
      </c>
      <c r="J310" s="218">
        <v>18</v>
      </c>
      <c r="K310" s="218">
        <v>13</v>
      </c>
      <c r="L310" s="218">
        <v>13</v>
      </c>
      <c r="M310" s="218">
        <v>13</v>
      </c>
      <c r="N310" s="218">
        <v>13</v>
      </c>
      <c r="O310" s="218">
        <v>13</v>
      </c>
      <c r="P310" s="218">
        <v>13</v>
      </c>
      <c r="Q310" s="218">
        <v>13</v>
      </c>
      <c r="R310" s="218">
        <v>13</v>
      </c>
      <c r="S310" s="223">
        <v>13</v>
      </c>
      <c r="T310" s="260"/>
    </row>
    <row r="311" spans="1:20">
      <c r="A311" s="236"/>
      <c r="B311" s="228" t="s">
        <v>431</v>
      </c>
      <c r="C311" s="214" t="s">
        <v>48</v>
      </c>
      <c r="D311" s="218"/>
      <c r="E311" s="218"/>
      <c r="F311" s="218"/>
      <c r="G311" s="460"/>
      <c r="H311" s="460"/>
      <c r="I311" s="460"/>
      <c r="J311" s="460"/>
      <c r="K311" s="460"/>
      <c r="L311" s="460"/>
      <c r="M311" s="460"/>
      <c r="N311" s="460"/>
      <c r="O311" s="460"/>
      <c r="P311" s="460"/>
      <c r="Q311" s="460"/>
      <c r="R311" s="460"/>
      <c r="S311" s="461"/>
      <c r="T311" s="260"/>
    </row>
    <row r="312" spans="1:20" ht="12.75" thickBot="1">
      <c r="A312" s="236"/>
      <c r="B312" s="439" t="s">
        <v>342</v>
      </c>
      <c r="C312" s="214" t="s">
        <v>48</v>
      </c>
      <c r="D312" s="533">
        <v>0</v>
      </c>
      <c r="E312" s="533">
        <v>0</v>
      </c>
      <c r="F312" s="533">
        <v>0</v>
      </c>
      <c r="G312" s="415">
        <v>0</v>
      </c>
      <c r="H312" s="415">
        <v>0</v>
      </c>
      <c r="I312" s="415">
        <v>0</v>
      </c>
      <c r="J312" s="415">
        <v>0</v>
      </c>
      <c r="K312" s="415">
        <v>14</v>
      </c>
      <c r="L312" s="415">
        <v>14</v>
      </c>
      <c r="M312" s="415">
        <v>14</v>
      </c>
      <c r="N312" s="415">
        <v>14</v>
      </c>
      <c r="O312" s="415">
        <v>14</v>
      </c>
      <c r="P312" s="415">
        <v>14</v>
      </c>
      <c r="Q312" s="415">
        <v>14</v>
      </c>
      <c r="R312" s="415">
        <v>14</v>
      </c>
      <c r="S312" s="429">
        <v>14</v>
      </c>
      <c r="T312" s="260"/>
    </row>
    <row r="313" spans="1:20">
      <c r="B313" s="224" t="s">
        <v>215</v>
      </c>
      <c r="C313" s="221" t="s">
        <v>121</v>
      </c>
      <c r="D313" s="470">
        <f>D315+D314</f>
        <v>2198000</v>
      </c>
      <c r="E313" s="470">
        <f t="shared" ref="E313:S313" si="76">E315+E314</f>
        <v>2199816.3772954927</v>
      </c>
      <c r="F313" s="470">
        <f t="shared" si="76"/>
        <v>2199816.3772954927</v>
      </c>
      <c r="G313" s="470">
        <f t="shared" si="76"/>
        <v>2199816.3772954927</v>
      </c>
      <c r="H313" s="470">
        <f t="shared" si="76"/>
        <v>2199816.3772954927</v>
      </c>
      <c r="I313" s="470">
        <f t="shared" si="76"/>
        <v>2199816.3772954927</v>
      </c>
      <c r="J313" s="470">
        <f t="shared" si="76"/>
        <v>2199816.3772954927</v>
      </c>
      <c r="K313" s="470">
        <f t="shared" si="76"/>
        <v>2200154.2162864031</v>
      </c>
      <c r="L313" s="470">
        <f t="shared" si="76"/>
        <v>2200154.2162864031</v>
      </c>
      <c r="M313" s="470">
        <f t="shared" si="76"/>
        <v>2200154.2162864031</v>
      </c>
      <c r="N313" s="470">
        <f t="shared" si="76"/>
        <v>2200154.2162864031</v>
      </c>
      <c r="O313" s="470">
        <f t="shared" si="76"/>
        <v>2200154.2162864031</v>
      </c>
      <c r="P313" s="470">
        <f t="shared" si="76"/>
        <v>2200154.2162864031</v>
      </c>
      <c r="Q313" s="470">
        <f t="shared" si="76"/>
        <v>2200154.2162864031</v>
      </c>
      <c r="R313" s="470">
        <f t="shared" si="76"/>
        <v>2200154.2162864031</v>
      </c>
      <c r="S313" s="471">
        <f t="shared" si="76"/>
        <v>2200154.2162864031</v>
      </c>
      <c r="T313" s="12"/>
    </row>
    <row r="314" spans="1:20">
      <c r="B314" s="222" t="s">
        <v>478</v>
      </c>
      <c r="C314" s="537" t="s">
        <v>121</v>
      </c>
      <c r="D314" s="83">
        <v>1198000</v>
      </c>
      <c r="E314" s="586">
        <v>1198990</v>
      </c>
      <c r="F314" s="586">
        <v>1198990</v>
      </c>
      <c r="G314" s="586">
        <v>1198990</v>
      </c>
      <c r="H314" s="586">
        <v>1198990</v>
      </c>
      <c r="I314" s="586">
        <v>1198990</v>
      </c>
      <c r="J314" s="586">
        <v>1198990</v>
      </c>
      <c r="K314" s="586">
        <v>803680</v>
      </c>
      <c r="L314" s="586">
        <v>803680</v>
      </c>
      <c r="M314" s="586">
        <v>803680</v>
      </c>
      <c r="N314" s="586">
        <v>803680</v>
      </c>
      <c r="O314" s="586">
        <v>803680</v>
      </c>
      <c r="P314" s="586">
        <v>803680</v>
      </c>
      <c r="Q314" s="586">
        <v>803680</v>
      </c>
      <c r="R314" s="586">
        <v>803680</v>
      </c>
      <c r="S314" s="587">
        <v>803680</v>
      </c>
      <c r="T314" s="12"/>
    </row>
    <row r="315" spans="1:20">
      <c r="B315" s="536" t="s">
        <v>472</v>
      </c>
      <c r="C315" s="214" t="s">
        <v>121</v>
      </c>
      <c r="D315" s="443">
        <f>D316+D317+D318</f>
        <v>1000000</v>
      </c>
      <c r="E315" s="443">
        <f t="shared" ref="E315:S315" si="77">E316+E317+E318</f>
        <v>1000826.3772954926</v>
      </c>
      <c r="F315" s="443">
        <f t="shared" si="77"/>
        <v>1000826.3772954926</v>
      </c>
      <c r="G315" s="443">
        <f t="shared" si="77"/>
        <v>1000826.3772954926</v>
      </c>
      <c r="H315" s="443">
        <f t="shared" si="77"/>
        <v>1000826.3772954926</v>
      </c>
      <c r="I315" s="443">
        <f t="shared" si="77"/>
        <v>1000826.3772954926</v>
      </c>
      <c r="J315" s="443">
        <f t="shared" si="77"/>
        <v>1000826.3772954926</v>
      </c>
      <c r="K315" s="443">
        <f t="shared" si="77"/>
        <v>1396474.2162864031</v>
      </c>
      <c r="L315" s="443">
        <f t="shared" si="77"/>
        <v>1396474.2162864031</v>
      </c>
      <c r="M315" s="443">
        <f t="shared" si="77"/>
        <v>1396474.2162864031</v>
      </c>
      <c r="N315" s="443">
        <f t="shared" si="77"/>
        <v>1396474.2162864031</v>
      </c>
      <c r="O315" s="443">
        <f t="shared" si="77"/>
        <v>1396474.2162864031</v>
      </c>
      <c r="P315" s="443">
        <f t="shared" si="77"/>
        <v>1396474.2162864031</v>
      </c>
      <c r="Q315" s="443">
        <f t="shared" si="77"/>
        <v>1396474.2162864031</v>
      </c>
      <c r="R315" s="443">
        <f t="shared" si="77"/>
        <v>1396474.2162864031</v>
      </c>
      <c r="S315" s="445">
        <f t="shared" si="77"/>
        <v>1396474.2162864031</v>
      </c>
      <c r="T315" s="12"/>
    </row>
    <row r="316" spans="1:20">
      <c r="B316" s="222" t="s">
        <v>209</v>
      </c>
      <c r="C316" s="214" t="s">
        <v>121</v>
      </c>
      <c r="D316" s="83">
        <v>1000000</v>
      </c>
      <c r="E316" s="83">
        <v>1000826.3772954926</v>
      </c>
      <c r="F316" s="83">
        <v>1000826.3772954926</v>
      </c>
      <c r="G316" s="83">
        <v>1000826.3772954926</v>
      </c>
      <c r="H316" s="83">
        <v>1000826.3772954926</v>
      </c>
      <c r="I316" s="83">
        <v>1000826.3772954926</v>
      </c>
      <c r="J316" s="83">
        <v>1000826.3772954926</v>
      </c>
      <c r="K316" s="83">
        <v>696474.21628640324</v>
      </c>
      <c r="L316" s="83">
        <v>696474.21628640324</v>
      </c>
      <c r="M316" s="83">
        <v>696474.21628640324</v>
      </c>
      <c r="N316" s="83">
        <v>696474.21628640324</v>
      </c>
      <c r="O316" s="83">
        <v>696474.21628640324</v>
      </c>
      <c r="P316" s="83">
        <v>696474.21628640324</v>
      </c>
      <c r="Q316" s="83">
        <v>696474.21628640324</v>
      </c>
      <c r="R316" s="83">
        <v>696474.21628640324</v>
      </c>
      <c r="S316" s="226">
        <v>696474.21628640324</v>
      </c>
      <c r="T316" s="179"/>
    </row>
    <row r="317" spans="1:20">
      <c r="B317" s="222" t="s">
        <v>408</v>
      </c>
      <c r="C317" s="214" t="s">
        <v>121</v>
      </c>
      <c r="D317" s="83"/>
      <c r="E317" s="83"/>
      <c r="F317" s="83"/>
      <c r="G317" s="83"/>
      <c r="H317" s="83"/>
      <c r="I317" s="83"/>
      <c r="J317" s="83"/>
      <c r="K317" s="83"/>
      <c r="L317" s="83"/>
      <c r="M317" s="83"/>
      <c r="N317" s="83"/>
      <c r="O317" s="83"/>
      <c r="P317" s="83"/>
      <c r="Q317" s="83"/>
      <c r="R317" s="83"/>
      <c r="S317" s="226"/>
      <c r="T317" s="179"/>
    </row>
    <row r="318" spans="1:20" ht="12.75" thickBot="1">
      <c r="B318" s="222" t="s">
        <v>342</v>
      </c>
      <c r="C318" s="214" t="s">
        <v>121</v>
      </c>
      <c r="D318" s="83">
        <v>0</v>
      </c>
      <c r="E318" s="83">
        <v>0</v>
      </c>
      <c r="F318" s="83">
        <v>0</v>
      </c>
      <c r="G318" s="83">
        <v>0</v>
      </c>
      <c r="H318" s="83">
        <v>0</v>
      </c>
      <c r="I318" s="83">
        <v>0</v>
      </c>
      <c r="J318" s="83">
        <v>0</v>
      </c>
      <c r="K318" s="83">
        <v>700000</v>
      </c>
      <c r="L318" s="83">
        <v>700000</v>
      </c>
      <c r="M318" s="83">
        <v>700000</v>
      </c>
      <c r="N318" s="83">
        <v>700000</v>
      </c>
      <c r="O318" s="83">
        <v>700000</v>
      </c>
      <c r="P318" s="83">
        <v>700000</v>
      </c>
      <c r="Q318" s="83">
        <v>700000</v>
      </c>
      <c r="R318" s="83">
        <v>700000</v>
      </c>
      <c r="S318" s="226">
        <v>700000</v>
      </c>
      <c r="T318" s="179"/>
    </row>
    <row r="319" spans="1:20">
      <c r="B319" s="536" t="s">
        <v>472</v>
      </c>
      <c r="C319" s="221" t="s">
        <v>395</v>
      </c>
      <c r="D319" s="470"/>
      <c r="E319" s="470"/>
      <c r="F319" s="470"/>
      <c r="G319" s="470"/>
      <c r="H319" s="470"/>
      <c r="I319" s="470"/>
      <c r="J319" s="470"/>
      <c r="K319" s="470"/>
      <c r="L319" s="470"/>
      <c r="M319" s="470"/>
      <c r="N319" s="470"/>
      <c r="O319" s="470"/>
      <c r="P319" s="470"/>
      <c r="Q319" s="470"/>
      <c r="R319" s="470"/>
      <c r="S319" s="471"/>
      <c r="T319" s="179"/>
    </row>
    <row r="320" spans="1:20">
      <c r="B320" s="222" t="s">
        <v>478</v>
      </c>
      <c r="C320" s="214" t="s">
        <v>395</v>
      </c>
      <c r="D320" s="588">
        <f>D314/D302</f>
        <v>52086.956521739128</v>
      </c>
      <c r="E320" s="588">
        <f t="shared" ref="E320:S320" si="78">E314/E302</f>
        <v>52130</v>
      </c>
      <c r="F320" s="588">
        <f t="shared" si="78"/>
        <v>52130</v>
      </c>
      <c r="G320" s="588">
        <f t="shared" si="78"/>
        <v>52130</v>
      </c>
      <c r="H320" s="588">
        <f t="shared" si="78"/>
        <v>52130</v>
      </c>
      <c r="I320" s="588">
        <f t="shared" si="78"/>
        <v>52130</v>
      </c>
      <c r="J320" s="588">
        <f t="shared" si="78"/>
        <v>52130</v>
      </c>
      <c r="K320" s="588">
        <f t="shared" si="78"/>
        <v>50230</v>
      </c>
      <c r="L320" s="588">
        <f t="shared" si="78"/>
        <v>50230</v>
      </c>
      <c r="M320" s="588">
        <f t="shared" si="78"/>
        <v>50230</v>
      </c>
      <c r="N320" s="588">
        <f t="shared" si="78"/>
        <v>50230</v>
      </c>
      <c r="O320" s="588">
        <f t="shared" si="78"/>
        <v>50230</v>
      </c>
      <c r="P320" s="588">
        <f t="shared" si="78"/>
        <v>50230</v>
      </c>
      <c r="Q320" s="588">
        <f t="shared" si="78"/>
        <v>50230</v>
      </c>
      <c r="R320" s="588">
        <f t="shared" si="78"/>
        <v>50230</v>
      </c>
      <c r="S320" s="592">
        <f t="shared" si="78"/>
        <v>50230</v>
      </c>
      <c r="T320" s="179"/>
    </row>
    <row r="321" spans="1:20">
      <c r="B321" s="222" t="s">
        <v>209</v>
      </c>
      <c r="C321" s="214" t="s">
        <v>395</v>
      </c>
      <c r="D321" s="589">
        <f>IFERROR(D316/(D304-D311),0)</f>
        <v>55555.555555555555</v>
      </c>
      <c r="E321" s="589">
        <f t="shared" ref="E321:S321" si="79">IFERROR(E316/(E304-E311),0)</f>
        <v>55601.465405305142</v>
      </c>
      <c r="F321" s="589">
        <f t="shared" si="79"/>
        <v>55601.465405305142</v>
      </c>
      <c r="G321" s="589">
        <f t="shared" si="79"/>
        <v>55601.465405305142</v>
      </c>
      <c r="H321" s="589">
        <f t="shared" si="79"/>
        <v>55601.465405305142</v>
      </c>
      <c r="I321" s="589">
        <f t="shared" si="79"/>
        <v>55601.465405305142</v>
      </c>
      <c r="J321" s="589">
        <f t="shared" si="79"/>
        <v>55601.465405305142</v>
      </c>
      <c r="K321" s="589">
        <f t="shared" si="79"/>
        <v>53574.93971433871</v>
      </c>
      <c r="L321" s="589">
        <f t="shared" si="79"/>
        <v>53574.93971433871</v>
      </c>
      <c r="M321" s="589">
        <f t="shared" si="79"/>
        <v>53574.93971433871</v>
      </c>
      <c r="N321" s="589">
        <f t="shared" si="79"/>
        <v>53574.93971433871</v>
      </c>
      <c r="O321" s="589">
        <f t="shared" si="79"/>
        <v>53574.93971433871</v>
      </c>
      <c r="P321" s="589">
        <f t="shared" si="79"/>
        <v>53574.93971433871</v>
      </c>
      <c r="Q321" s="589">
        <f t="shared" si="79"/>
        <v>53574.93971433871</v>
      </c>
      <c r="R321" s="589">
        <f t="shared" si="79"/>
        <v>53574.93971433871</v>
      </c>
      <c r="S321" s="593">
        <f t="shared" si="79"/>
        <v>53574.93971433871</v>
      </c>
      <c r="T321" s="179"/>
    </row>
    <row r="322" spans="1:20">
      <c r="B322" s="222" t="s">
        <v>408</v>
      </c>
      <c r="C322" s="214" t="s">
        <v>395</v>
      </c>
      <c r="D322" s="589"/>
      <c r="E322" s="589"/>
      <c r="F322" s="589"/>
      <c r="G322" s="589"/>
      <c r="H322" s="589"/>
      <c r="I322" s="589"/>
      <c r="J322" s="589"/>
      <c r="K322" s="589"/>
      <c r="L322" s="589"/>
      <c r="M322" s="589"/>
      <c r="N322" s="589"/>
      <c r="O322" s="589"/>
      <c r="P322" s="589"/>
      <c r="Q322" s="589"/>
      <c r="R322" s="589"/>
      <c r="S322" s="593"/>
      <c r="T322" s="179"/>
    </row>
    <row r="323" spans="1:20">
      <c r="B323" s="222" t="s">
        <v>344</v>
      </c>
      <c r="C323" s="214" t="s">
        <v>395</v>
      </c>
      <c r="D323" s="83">
        <f>IF(D312=0,0,D318/D312)</f>
        <v>0</v>
      </c>
      <c r="E323" s="83">
        <f t="shared" ref="E323:S323" si="80">IF(E312=0,0,E318/E312)</f>
        <v>0</v>
      </c>
      <c r="F323" s="83">
        <f t="shared" si="80"/>
        <v>0</v>
      </c>
      <c r="G323" s="83">
        <f t="shared" si="80"/>
        <v>0</v>
      </c>
      <c r="H323" s="83">
        <f t="shared" si="80"/>
        <v>0</v>
      </c>
      <c r="I323" s="83">
        <f t="shared" si="80"/>
        <v>0</v>
      </c>
      <c r="J323" s="83">
        <f t="shared" si="80"/>
        <v>0</v>
      </c>
      <c r="K323" s="83">
        <f t="shared" si="80"/>
        <v>50000</v>
      </c>
      <c r="L323" s="83">
        <f t="shared" si="80"/>
        <v>50000</v>
      </c>
      <c r="M323" s="83">
        <f t="shared" si="80"/>
        <v>50000</v>
      </c>
      <c r="N323" s="83">
        <f t="shared" si="80"/>
        <v>50000</v>
      </c>
      <c r="O323" s="83">
        <f t="shared" si="80"/>
        <v>50000</v>
      </c>
      <c r="P323" s="83">
        <f t="shared" si="80"/>
        <v>50000</v>
      </c>
      <c r="Q323" s="83">
        <f t="shared" si="80"/>
        <v>50000</v>
      </c>
      <c r="R323" s="83">
        <f t="shared" si="80"/>
        <v>50000</v>
      </c>
      <c r="S323" s="226">
        <f t="shared" si="80"/>
        <v>50000</v>
      </c>
      <c r="T323" s="179"/>
    </row>
    <row r="324" spans="1:20" ht="12.75" thickBot="1">
      <c r="B324" s="472" t="s">
        <v>298</v>
      </c>
      <c r="C324" s="469" t="s">
        <v>28</v>
      </c>
      <c r="D324" s="473">
        <v>7.3170731707317069E-2</v>
      </c>
      <c r="E324" s="473">
        <v>1.0731707317073171</v>
      </c>
      <c r="F324" s="473">
        <v>2.0731707317073171</v>
      </c>
      <c r="G324" s="473">
        <v>3.0731707317073171</v>
      </c>
      <c r="H324" s="473">
        <v>4.0731707317073171</v>
      </c>
      <c r="I324" s="473">
        <v>5.0731707317073171</v>
      </c>
      <c r="J324" s="473">
        <v>6.0731707317073171</v>
      </c>
      <c r="K324" s="473">
        <v>1</v>
      </c>
      <c r="L324" s="473">
        <v>2</v>
      </c>
      <c r="M324" s="473">
        <v>3</v>
      </c>
      <c r="N324" s="473">
        <v>4</v>
      </c>
      <c r="O324" s="473">
        <v>5</v>
      </c>
      <c r="P324" s="473">
        <v>6</v>
      </c>
      <c r="Q324" s="473">
        <v>7</v>
      </c>
      <c r="R324" s="473">
        <v>8</v>
      </c>
      <c r="S324" s="474">
        <v>3.6046511627906979</v>
      </c>
      <c r="T324" s="179"/>
    </row>
    <row r="325" spans="1:20" s="6" customFormat="1">
      <c r="B325" s="441"/>
      <c r="C325" s="200"/>
      <c r="D325" s="179"/>
      <c r="E325" s="440"/>
      <c r="F325" s="440"/>
      <c r="G325" s="440"/>
      <c r="H325" s="440"/>
      <c r="I325" s="440"/>
      <c r="J325" s="440"/>
      <c r="K325" s="440"/>
      <c r="L325" s="440"/>
      <c r="M325" s="440"/>
      <c r="N325" s="440"/>
      <c r="O325" s="440"/>
      <c r="P325" s="440"/>
      <c r="Q325" s="440"/>
      <c r="R325" s="440"/>
      <c r="S325" s="440"/>
      <c r="T325" s="179"/>
    </row>
    <row r="326" spans="1:20" ht="12.75" thickBot="1">
      <c r="A326" s="6"/>
      <c r="B326" s="264" t="s">
        <v>436</v>
      </c>
      <c r="C326" s="187"/>
      <c r="D326" s="12"/>
      <c r="E326" s="459"/>
      <c r="F326" s="459"/>
      <c r="G326" s="459"/>
      <c r="H326" s="459"/>
      <c r="I326" s="459"/>
      <c r="J326" s="459"/>
      <c r="K326" s="459"/>
      <c r="L326" s="459"/>
      <c r="M326" s="459"/>
      <c r="N326" s="459"/>
      <c r="O326" s="459"/>
      <c r="P326" s="459"/>
      <c r="Q326" s="459"/>
      <c r="R326" s="459"/>
      <c r="S326" s="459"/>
      <c r="T326" s="12"/>
    </row>
    <row r="327" spans="1:20">
      <c r="A327" s="6"/>
      <c r="B327" s="224" t="s">
        <v>216</v>
      </c>
      <c r="C327" s="221" t="s">
        <v>48</v>
      </c>
      <c r="D327" s="225"/>
      <c r="E327" s="225"/>
      <c r="F327" s="225"/>
      <c r="G327" s="225"/>
      <c r="H327" s="225"/>
      <c r="I327" s="225"/>
      <c r="J327" s="225"/>
      <c r="K327" s="225"/>
      <c r="L327" s="225"/>
      <c r="M327" s="225"/>
      <c r="N327" s="225"/>
      <c r="O327" s="225"/>
      <c r="P327" s="225"/>
      <c r="Q327" s="225"/>
      <c r="R327" s="225"/>
      <c r="S327" s="263"/>
      <c r="T327" s="12"/>
    </row>
    <row r="328" spans="1:20">
      <c r="A328" s="6"/>
      <c r="B328" s="222" t="s">
        <v>254</v>
      </c>
      <c r="C328" s="214" t="s">
        <v>48</v>
      </c>
      <c r="D328" s="83">
        <v>0</v>
      </c>
      <c r="E328" s="83">
        <v>0</v>
      </c>
      <c r="F328" s="83">
        <v>0</v>
      </c>
      <c r="G328" s="83">
        <v>0</v>
      </c>
      <c r="H328" s="83">
        <v>0</v>
      </c>
      <c r="I328" s="83">
        <v>0</v>
      </c>
      <c r="J328" s="83">
        <v>41</v>
      </c>
      <c r="K328" s="83">
        <v>0</v>
      </c>
      <c r="L328" s="83">
        <v>0</v>
      </c>
      <c r="M328" s="83">
        <v>0</v>
      </c>
      <c r="N328" s="83">
        <v>0</v>
      </c>
      <c r="O328" s="83">
        <v>0</v>
      </c>
      <c r="P328" s="83">
        <v>0</v>
      </c>
      <c r="Q328" s="83">
        <v>0</v>
      </c>
      <c r="R328" s="83">
        <v>28</v>
      </c>
      <c r="S328" s="226">
        <v>0</v>
      </c>
      <c r="T328" s="179"/>
    </row>
    <row r="329" spans="1:20">
      <c r="A329" s="6"/>
      <c r="B329" s="222" t="s">
        <v>345</v>
      </c>
      <c r="C329" s="214" t="s">
        <v>48</v>
      </c>
      <c r="D329" s="83">
        <v>0</v>
      </c>
      <c r="E329" s="83">
        <v>0</v>
      </c>
      <c r="F329" s="450">
        <v>0</v>
      </c>
      <c r="G329" s="450">
        <v>0</v>
      </c>
      <c r="H329" s="450">
        <v>0</v>
      </c>
      <c r="I329" s="450">
        <v>0</v>
      </c>
      <c r="J329" s="450">
        <v>0</v>
      </c>
      <c r="K329" s="450">
        <v>0</v>
      </c>
      <c r="L329" s="450">
        <v>0</v>
      </c>
      <c r="M329" s="450">
        <v>0</v>
      </c>
      <c r="N329" s="450">
        <v>0</v>
      </c>
      <c r="O329" s="450">
        <v>0</v>
      </c>
      <c r="P329" s="450">
        <v>0</v>
      </c>
      <c r="Q329" s="450">
        <v>0</v>
      </c>
      <c r="R329" s="450">
        <v>0</v>
      </c>
      <c r="S329" s="451">
        <v>0</v>
      </c>
      <c r="T329" s="179"/>
    </row>
    <row r="330" spans="1:20">
      <c r="A330" s="6"/>
      <c r="B330" s="228" t="s">
        <v>449</v>
      </c>
      <c r="C330" s="227" t="s">
        <v>48</v>
      </c>
      <c r="D330" s="446">
        <f>D332+D331</f>
        <v>41</v>
      </c>
      <c r="E330" s="446">
        <f t="shared" ref="E330:S330" si="81">E332+E331</f>
        <v>41</v>
      </c>
      <c r="F330" s="446">
        <f t="shared" si="81"/>
        <v>41</v>
      </c>
      <c r="G330" s="446">
        <f t="shared" si="81"/>
        <v>41</v>
      </c>
      <c r="H330" s="446">
        <f t="shared" si="81"/>
        <v>41</v>
      </c>
      <c r="I330" s="446">
        <f t="shared" si="81"/>
        <v>41</v>
      </c>
      <c r="J330" s="446">
        <f t="shared" si="81"/>
        <v>41</v>
      </c>
      <c r="K330" s="446">
        <f t="shared" si="81"/>
        <v>41</v>
      </c>
      <c r="L330" s="446">
        <f t="shared" si="81"/>
        <v>41</v>
      </c>
      <c r="M330" s="446">
        <f t="shared" si="81"/>
        <v>41</v>
      </c>
      <c r="N330" s="446">
        <f t="shared" si="81"/>
        <v>41</v>
      </c>
      <c r="O330" s="446">
        <f t="shared" si="81"/>
        <v>41</v>
      </c>
      <c r="P330" s="446">
        <f t="shared" si="81"/>
        <v>41</v>
      </c>
      <c r="Q330" s="446">
        <f t="shared" si="81"/>
        <v>41</v>
      </c>
      <c r="R330" s="446">
        <f t="shared" si="81"/>
        <v>41</v>
      </c>
      <c r="S330" s="590">
        <f t="shared" si="81"/>
        <v>41</v>
      </c>
      <c r="T330" s="259"/>
    </row>
    <row r="331" spans="1:20" ht="12.75" thickBot="1">
      <c r="B331" s="591" t="s">
        <v>477</v>
      </c>
      <c r="C331" s="214" t="s">
        <v>48</v>
      </c>
      <c r="D331" s="415">
        <v>23</v>
      </c>
      <c r="E331" s="415">
        <v>23</v>
      </c>
      <c r="F331" s="415">
        <v>23</v>
      </c>
      <c r="G331" s="415">
        <v>23</v>
      </c>
      <c r="H331" s="415">
        <v>23</v>
      </c>
      <c r="I331" s="415">
        <v>23</v>
      </c>
      <c r="J331" s="415">
        <v>23</v>
      </c>
      <c r="K331" s="415">
        <v>16</v>
      </c>
      <c r="L331" s="415">
        <v>16</v>
      </c>
      <c r="M331" s="415">
        <v>16</v>
      </c>
      <c r="N331" s="415">
        <v>16</v>
      </c>
      <c r="O331" s="415">
        <v>16</v>
      </c>
      <c r="P331" s="415">
        <v>16</v>
      </c>
      <c r="Q331" s="415">
        <v>16</v>
      </c>
      <c r="R331" s="415">
        <v>16</v>
      </c>
      <c r="S331" s="429">
        <v>16</v>
      </c>
      <c r="T331" s="259"/>
    </row>
    <row r="332" spans="1:20">
      <c r="A332" s="6"/>
      <c r="B332" s="536" t="s">
        <v>472</v>
      </c>
      <c r="C332" s="221" t="s">
        <v>48</v>
      </c>
      <c r="D332" s="229">
        <f>D333+D341</f>
        <v>18</v>
      </c>
      <c r="E332" s="229">
        <f t="shared" ref="E332:S332" si="82">E333+E341</f>
        <v>18</v>
      </c>
      <c r="F332" s="229">
        <f t="shared" si="82"/>
        <v>18</v>
      </c>
      <c r="G332" s="229">
        <f t="shared" si="82"/>
        <v>18</v>
      </c>
      <c r="H332" s="229">
        <f t="shared" si="82"/>
        <v>18</v>
      </c>
      <c r="I332" s="229">
        <f t="shared" si="82"/>
        <v>18</v>
      </c>
      <c r="J332" s="229">
        <f t="shared" si="82"/>
        <v>18</v>
      </c>
      <c r="K332" s="229">
        <f t="shared" si="82"/>
        <v>25</v>
      </c>
      <c r="L332" s="229">
        <f t="shared" si="82"/>
        <v>25</v>
      </c>
      <c r="M332" s="229">
        <f t="shared" si="82"/>
        <v>25</v>
      </c>
      <c r="N332" s="229">
        <f t="shared" si="82"/>
        <v>25</v>
      </c>
      <c r="O332" s="229">
        <f t="shared" si="82"/>
        <v>25</v>
      </c>
      <c r="P332" s="229">
        <f t="shared" si="82"/>
        <v>25</v>
      </c>
      <c r="Q332" s="229">
        <f t="shared" si="82"/>
        <v>25</v>
      </c>
      <c r="R332" s="229">
        <f t="shared" si="82"/>
        <v>25</v>
      </c>
      <c r="S332" s="230">
        <f t="shared" si="82"/>
        <v>25</v>
      </c>
      <c r="T332" s="259"/>
    </row>
    <row r="333" spans="1:20">
      <c r="A333" s="535"/>
      <c r="B333" s="439" t="s">
        <v>343</v>
      </c>
      <c r="C333" s="214" t="s">
        <v>48</v>
      </c>
      <c r="D333" s="415">
        <f>SUM(D334:D340)</f>
        <v>18</v>
      </c>
      <c r="E333" s="415">
        <f t="shared" ref="E333:S333" si="83">SUM(E334:E340)</f>
        <v>18</v>
      </c>
      <c r="F333" s="415">
        <f t="shared" si="83"/>
        <v>18</v>
      </c>
      <c r="G333" s="415">
        <f>SUM(G334:G340)</f>
        <v>18</v>
      </c>
      <c r="H333" s="415">
        <f t="shared" si="83"/>
        <v>18</v>
      </c>
      <c r="I333" s="415">
        <f t="shared" si="83"/>
        <v>18</v>
      </c>
      <c r="J333" s="415">
        <f t="shared" si="83"/>
        <v>18</v>
      </c>
      <c r="K333" s="415">
        <f t="shared" si="83"/>
        <v>12</v>
      </c>
      <c r="L333" s="415">
        <f t="shared" si="83"/>
        <v>12</v>
      </c>
      <c r="M333" s="415">
        <f t="shared" si="83"/>
        <v>12</v>
      </c>
      <c r="N333" s="415">
        <f t="shared" si="83"/>
        <v>12</v>
      </c>
      <c r="O333" s="415">
        <f t="shared" si="83"/>
        <v>12</v>
      </c>
      <c r="P333" s="415">
        <f t="shared" si="83"/>
        <v>12</v>
      </c>
      <c r="Q333" s="415">
        <f t="shared" si="83"/>
        <v>12</v>
      </c>
      <c r="R333" s="415">
        <f t="shared" si="83"/>
        <v>12</v>
      </c>
      <c r="S333" s="429">
        <f t="shared" si="83"/>
        <v>12</v>
      </c>
      <c r="T333" s="259"/>
    </row>
    <row r="334" spans="1:20">
      <c r="A334" s="535"/>
      <c r="B334" s="222" t="s">
        <v>426</v>
      </c>
      <c r="C334" s="214" t="s">
        <v>48</v>
      </c>
      <c r="D334" s="218"/>
      <c r="E334" s="218"/>
      <c r="F334" s="218"/>
      <c r="G334" s="218"/>
      <c r="H334" s="218"/>
      <c r="I334" s="218"/>
      <c r="J334" s="218"/>
      <c r="K334" s="218"/>
      <c r="L334" s="218"/>
      <c r="M334" s="218"/>
      <c r="N334" s="218"/>
      <c r="O334" s="218"/>
      <c r="P334" s="218"/>
      <c r="Q334" s="218"/>
      <c r="R334" s="218"/>
      <c r="S334" s="223"/>
      <c r="T334" s="259"/>
    </row>
    <row r="335" spans="1:20">
      <c r="A335" s="535"/>
      <c r="B335" s="222" t="s">
        <v>432</v>
      </c>
      <c r="C335" s="214" t="s">
        <v>48</v>
      </c>
      <c r="D335" s="218"/>
      <c r="E335" s="218"/>
      <c r="F335" s="218"/>
      <c r="G335" s="218"/>
      <c r="H335" s="218"/>
      <c r="I335" s="218"/>
      <c r="J335" s="218"/>
      <c r="K335" s="218"/>
      <c r="L335" s="218"/>
      <c r="M335" s="218"/>
      <c r="N335" s="218"/>
      <c r="O335" s="218"/>
      <c r="P335" s="218"/>
      <c r="Q335" s="218"/>
      <c r="R335" s="218"/>
      <c r="S335" s="223"/>
      <c r="T335" s="260"/>
    </row>
    <row r="336" spans="1:20">
      <c r="A336" s="535"/>
      <c r="B336" s="222" t="s">
        <v>427</v>
      </c>
      <c r="C336" s="214" t="s">
        <v>48</v>
      </c>
      <c r="D336" s="218"/>
      <c r="E336" s="218"/>
      <c r="F336" s="218"/>
      <c r="G336" s="218"/>
      <c r="H336" s="218"/>
      <c r="I336" s="218"/>
      <c r="J336" s="218"/>
      <c r="K336" s="218"/>
      <c r="L336" s="218"/>
      <c r="M336" s="218"/>
      <c r="N336" s="218"/>
      <c r="O336" s="218"/>
      <c r="P336" s="218"/>
      <c r="Q336" s="218"/>
      <c r="R336" s="218"/>
      <c r="S336" s="223"/>
      <c r="T336" s="260"/>
    </row>
    <row r="337" spans="1:20">
      <c r="A337" s="535"/>
      <c r="B337" s="222" t="s">
        <v>428</v>
      </c>
      <c r="C337" s="214" t="s">
        <v>48</v>
      </c>
      <c r="D337" s="218"/>
      <c r="E337" s="218"/>
      <c r="F337" s="218"/>
      <c r="G337" s="218"/>
      <c r="H337" s="218"/>
      <c r="I337" s="218"/>
      <c r="J337" s="218"/>
      <c r="K337" s="218"/>
      <c r="L337" s="218"/>
      <c r="M337" s="218"/>
      <c r="N337" s="218"/>
      <c r="O337" s="218"/>
      <c r="P337" s="218"/>
      <c r="Q337" s="218"/>
      <c r="R337" s="218"/>
      <c r="S337" s="223"/>
      <c r="T337" s="260"/>
    </row>
    <row r="338" spans="1:20">
      <c r="A338" s="535"/>
      <c r="B338" s="222" t="s">
        <v>429</v>
      </c>
      <c r="C338" s="214" t="s">
        <v>48</v>
      </c>
      <c r="D338" s="218"/>
      <c r="E338" s="218"/>
      <c r="F338" s="218"/>
      <c r="G338" s="218"/>
      <c r="H338" s="218"/>
      <c r="I338" s="218"/>
      <c r="J338" s="218"/>
      <c r="K338" s="218"/>
      <c r="L338" s="218"/>
      <c r="M338" s="218"/>
      <c r="N338" s="218"/>
      <c r="O338" s="218"/>
      <c r="P338" s="218"/>
      <c r="Q338" s="218"/>
      <c r="R338" s="218"/>
      <c r="S338" s="223"/>
      <c r="T338" s="260"/>
    </row>
    <row r="339" spans="1:20">
      <c r="A339" s="535"/>
      <c r="B339" s="222" t="s">
        <v>430</v>
      </c>
      <c r="C339" s="214" t="s">
        <v>48</v>
      </c>
      <c r="D339" s="218">
        <v>18</v>
      </c>
      <c r="E339" s="218">
        <v>18</v>
      </c>
      <c r="F339" s="218">
        <v>18</v>
      </c>
      <c r="G339" s="218">
        <v>18</v>
      </c>
      <c r="H339" s="218">
        <v>18</v>
      </c>
      <c r="I339" s="218">
        <v>18</v>
      </c>
      <c r="J339" s="218">
        <v>18</v>
      </c>
      <c r="K339" s="218">
        <v>12</v>
      </c>
      <c r="L339" s="218">
        <v>12</v>
      </c>
      <c r="M339" s="218">
        <v>12</v>
      </c>
      <c r="N339" s="218">
        <v>12</v>
      </c>
      <c r="O339" s="218">
        <v>12</v>
      </c>
      <c r="P339" s="218">
        <v>12</v>
      </c>
      <c r="Q339" s="218">
        <v>12</v>
      </c>
      <c r="R339" s="218">
        <v>12</v>
      </c>
      <c r="S339" s="223">
        <v>12</v>
      </c>
      <c r="T339" s="260"/>
    </row>
    <row r="340" spans="1:20">
      <c r="A340" s="535"/>
      <c r="B340" s="228" t="s">
        <v>431</v>
      </c>
      <c r="C340" s="214" t="s">
        <v>48</v>
      </c>
      <c r="D340" s="218"/>
      <c r="E340" s="460"/>
      <c r="F340" s="460"/>
      <c r="G340" s="460"/>
      <c r="H340" s="460"/>
      <c r="I340" s="460"/>
      <c r="J340" s="460"/>
      <c r="K340" s="460"/>
      <c r="L340" s="460"/>
      <c r="M340" s="460"/>
      <c r="N340" s="460"/>
      <c r="O340" s="460"/>
      <c r="P340" s="460"/>
      <c r="Q340" s="460"/>
      <c r="R340" s="460"/>
      <c r="S340" s="461"/>
      <c r="T340" s="260"/>
    </row>
    <row r="341" spans="1:20" ht="12.75" thickBot="1">
      <c r="A341" s="535"/>
      <c r="B341" s="439" t="s">
        <v>342</v>
      </c>
      <c r="C341" s="214" t="s">
        <v>48</v>
      </c>
      <c r="D341" s="415">
        <v>0</v>
      </c>
      <c r="E341" s="415">
        <v>0</v>
      </c>
      <c r="F341" s="415">
        <v>0</v>
      </c>
      <c r="G341" s="415">
        <v>0</v>
      </c>
      <c r="H341" s="415">
        <v>0</v>
      </c>
      <c r="I341" s="415">
        <v>0</v>
      </c>
      <c r="J341" s="415">
        <v>0</v>
      </c>
      <c r="K341" s="415">
        <v>13</v>
      </c>
      <c r="L341" s="415">
        <v>13</v>
      </c>
      <c r="M341" s="415">
        <v>13</v>
      </c>
      <c r="N341" s="415">
        <v>13</v>
      </c>
      <c r="O341" s="415">
        <v>13</v>
      </c>
      <c r="P341" s="415">
        <v>13</v>
      </c>
      <c r="Q341" s="415">
        <v>13</v>
      </c>
      <c r="R341" s="415">
        <v>13</v>
      </c>
      <c r="S341" s="429">
        <v>13</v>
      </c>
      <c r="T341" s="260"/>
    </row>
    <row r="342" spans="1:20">
      <c r="A342" s="6"/>
      <c r="B342" s="224" t="s">
        <v>215</v>
      </c>
      <c r="C342" s="221" t="s">
        <v>121</v>
      </c>
      <c r="D342" s="470">
        <f>D344+D343</f>
        <v>2198000</v>
      </c>
      <c r="E342" s="470">
        <f t="shared" ref="E342:S342" si="84">E344+E343</f>
        <v>2199816.3772954927</v>
      </c>
      <c r="F342" s="470">
        <f t="shared" si="84"/>
        <v>2199816.3772954927</v>
      </c>
      <c r="G342" s="470">
        <f t="shared" si="84"/>
        <v>2199816.3772954927</v>
      </c>
      <c r="H342" s="470">
        <f t="shared" si="84"/>
        <v>2199816.3772954927</v>
      </c>
      <c r="I342" s="470">
        <f t="shared" si="84"/>
        <v>2199816.3772954927</v>
      </c>
      <c r="J342" s="470">
        <f t="shared" si="84"/>
        <v>2199816.3772954927</v>
      </c>
      <c r="K342" s="470">
        <f t="shared" si="84"/>
        <v>2199968.0801335559</v>
      </c>
      <c r="L342" s="470">
        <f t="shared" si="84"/>
        <v>2199968.0801335559</v>
      </c>
      <c r="M342" s="470">
        <f t="shared" si="84"/>
        <v>2199968.0801335559</v>
      </c>
      <c r="N342" s="470">
        <f t="shared" si="84"/>
        <v>2199968.0801335559</v>
      </c>
      <c r="O342" s="470">
        <f t="shared" si="84"/>
        <v>2199968.0801335559</v>
      </c>
      <c r="P342" s="470">
        <f t="shared" si="84"/>
        <v>2199968.0801335559</v>
      </c>
      <c r="Q342" s="470">
        <f t="shared" si="84"/>
        <v>2199968.0801335559</v>
      </c>
      <c r="R342" s="470">
        <f t="shared" si="84"/>
        <v>2199968.0801335559</v>
      </c>
      <c r="S342" s="471">
        <f t="shared" si="84"/>
        <v>2199968.0801335559</v>
      </c>
      <c r="T342" s="12"/>
    </row>
    <row r="343" spans="1:20" s="45" customFormat="1">
      <c r="A343" s="178"/>
      <c r="B343" s="604" t="s">
        <v>478</v>
      </c>
      <c r="C343" s="605" t="s">
        <v>121</v>
      </c>
      <c r="D343" s="588">
        <v>1198000</v>
      </c>
      <c r="E343" s="588">
        <v>1198990</v>
      </c>
      <c r="F343" s="588">
        <v>1198990</v>
      </c>
      <c r="G343" s="588">
        <v>1198990</v>
      </c>
      <c r="H343" s="588">
        <v>1198990</v>
      </c>
      <c r="I343" s="588">
        <v>1198990</v>
      </c>
      <c r="J343" s="588">
        <v>1198990</v>
      </c>
      <c r="K343" s="588">
        <v>861120</v>
      </c>
      <c r="L343" s="588">
        <v>861120</v>
      </c>
      <c r="M343" s="588">
        <v>861120</v>
      </c>
      <c r="N343" s="588">
        <v>861120</v>
      </c>
      <c r="O343" s="588">
        <v>861120</v>
      </c>
      <c r="P343" s="588">
        <v>861120</v>
      </c>
      <c r="Q343" s="588">
        <v>861120</v>
      </c>
      <c r="R343" s="588">
        <v>861120</v>
      </c>
      <c r="S343" s="592">
        <v>861120</v>
      </c>
      <c r="T343" s="606"/>
    </row>
    <row r="344" spans="1:20">
      <c r="A344" s="6"/>
      <c r="B344" s="536" t="s">
        <v>472</v>
      </c>
      <c r="C344" s="214" t="s">
        <v>121</v>
      </c>
      <c r="D344" s="443">
        <f>D345+D346+D347</f>
        <v>1000000</v>
      </c>
      <c r="E344" s="443">
        <f t="shared" ref="E344:S344" si="85">E345+E346+E347</f>
        <v>1000826.3772954926</v>
      </c>
      <c r="F344" s="443">
        <f t="shared" si="85"/>
        <v>1000826.3772954926</v>
      </c>
      <c r="G344" s="443">
        <f t="shared" si="85"/>
        <v>1000826.3772954926</v>
      </c>
      <c r="H344" s="443">
        <f t="shared" si="85"/>
        <v>1000826.3772954926</v>
      </c>
      <c r="I344" s="443">
        <f t="shared" si="85"/>
        <v>1000826.3772954926</v>
      </c>
      <c r="J344" s="443">
        <f t="shared" si="85"/>
        <v>1000826.3772954926</v>
      </c>
      <c r="K344" s="443">
        <f t="shared" si="85"/>
        <v>1338848.0801335559</v>
      </c>
      <c r="L344" s="443">
        <f t="shared" si="85"/>
        <v>1338848.0801335559</v>
      </c>
      <c r="M344" s="443">
        <f t="shared" si="85"/>
        <v>1338848.0801335559</v>
      </c>
      <c r="N344" s="443">
        <f t="shared" si="85"/>
        <v>1338848.0801335559</v>
      </c>
      <c r="O344" s="443">
        <f t="shared" si="85"/>
        <v>1338848.0801335559</v>
      </c>
      <c r="P344" s="443">
        <f t="shared" si="85"/>
        <v>1338848.0801335559</v>
      </c>
      <c r="Q344" s="443">
        <f t="shared" si="85"/>
        <v>1338848.0801335559</v>
      </c>
      <c r="R344" s="443">
        <f t="shared" si="85"/>
        <v>1338848.0801335559</v>
      </c>
      <c r="S344" s="445">
        <f t="shared" si="85"/>
        <v>1338848.0801335559</v>
      </c>
      <c r="T344" s="12"/>
    </row>
    <row r="345" spans="1:20">
      <c r="A345" s="6"/>
      <c r="B345" s="222" t="s">
        <v>209</v>
      </c>
      <c r="C345" s="214" t="s">
        <v>121</v>
      </c>
      <c r="D345" s="83">
        <v>1000000</v>
      </c>
      <c r="E345" s="83">
        <v>1000826.3772954926</v>
      </c>
      <c r="F345" s="83">
        <v>1000826.3772954926</v>
      </c>
      <c r="G345" s="83">
        <v>1000826.3772954926</v>
      </c>
      <c r="H345" s="83">
        <v>1000826.3772954926</v>
      </c>
      <c r="I345" s="83">
        <v>1000826.3772954926</v>
      </c>
      <c r="J345" s="83">
        <v>1000826.3772954926</v>
      </c>
      <c r="K345" s="83">
        <v>688848.08013355604</v>
      </c>
      <c r="L345" s="83">
        <v>688848.08013355604</v>
      </c>
      <c r="M345" s="83">
        <v>688848.08013355604</v>
      </c>
      <c r="N345" s="83">
        <v>688848.08013355604</v>
      </c>
      <c r="O345" s="83">
        <v>688848.08013355604</v>
      </c>
      <c r="P345" s="83">
        <v>688848.08013355604</v>
      </c>
      <c r="Q345" s="83">
        <v>688848.08013355604</v>
      </c>
      <c r="R345" s="83">
        <v>688848.08013355604</v>
      </c>
      <c r="S345" s="226">
        <v>688848.08013355604</v>
      </c>
      <c r="T345" s="43"/>
    </row>
    <row r="346" spans="1:20">
      <c r="A346" s="6"/>
      <c r="B346" s="222" t="s">
        <v>408</v>
      </c>
      <c r="C346" s="214" t="s">
        <v>121</v>
      </c>
      <c r="D346" s="83">
        <v>0</v>
      </c>
      <c r="E346" s="83">
        <v>0</v>
      </c>
      <c r="F346" s="83">
        <v>0</v>
      </c>
      <c r="G346" s="83">
        <v>0</v>
      </c>
      <c r="H346" s="83">
        <v>0</v>
      </c>
      <c r="I346" s="83">
        <v>0</v>
      </c>
      <c r="J346" s="83">
        <v>0</v>
      </c>
      <c r="K346" s="83">
        <v>0</v>
      </c>
      <c r="L346" s="83">
        <v>0</v>
      </c>
      <c r="M346" s="83">
        <v>0</v>
      </c>
      <c r="N346" s="83">
        <v>0</v>
      </c>
      <c r="O346" s="83">
        <v>0</v>
      </c>
      <c r="P346" s="83">
        <v>0</v>
      </c>
      <c r="Q346" s="83">
        <v>0</v>
      </c>
      <c r="R346" s="83">
        <v>0</v>
      </c>
      <c r="S346" s="226">
        <v>0</v>
      </c>
      <c r="T346" s="179"/>
    </row>
    <row r="347" spans="1:20" ht="12.75" thickBot="1">
      <c r="A347" s="6"/>
      <c r="B347" s="222" t="s">
        <v>342</v>
      </c>
      <c r="C347" s="214" t="s">
        <v>121</v>
      </c>
      <c r="D347" s="83">
        <v>0</v>
      </c>
      <c r="E347" s="83">
        <v>0</v>
      </c>
      <c r="F347" s="83">
        <v>0</v>
      </c>
      <c r="G347" s="83">
        <v>0</v>
      </c>
      <c r="H347" s="83">
        <v>0</v>
      </c>
      <c r="I347" s="83">
        <v>0</v>
      </c>
      <c r="J347" s="83">
        <v>0</v>
      </c>
      <c r="K347" s="83">
        <v>650000</v>
      </c>
      <c r="L347" s="83">
        <v>650000</v>
      </c>
      <c r="M347" s="83">
        <v>650000</v>
      </c>
      <c r="N347" s="83">
        <v>650000</v>
      </c>
      <c r="O347" s="83">
        <v>650000</v>
      </c>
      <c r="P347" s="83">
        <v>650000</v>
      </c>
      <c r="Q347" s="83">
        <v>650000</v>
      </c>
      <c r="R347" s="83">
        <v>650000</v>
      </c>
      <c r="S347" s="226">
        <v>650000</v>
      </c>
      <c r="T347" s="179"/>
    </row>
    <row r="348" spans="1:20">
      <c r="A348" s="6"/>
      <c r="B348" s="536" t="s">
        <v>472</v>
      </c>
      <c r="C348" s="221" t="s">
        <v>395</v>
      </c>
      <c r="D348" s="470"/>
      <c r="E348" s="470"/>
      <c r="F348" s="470"/>
      <c r="G348" s="470"/>
      <c r="H348" s="470"/>
      <c r="I348" s="470"/>
      <c r="J348" s="470"/>
      <c r="K348" s="470"/>
      <c r="L348" s="470"/>
      <c r="M348" s="470"/>
      <c r="N348" s="470"/>
      <c r="O348" s="470"/>
      <c r="P348" s="470"/>
      <c r="Q348" s="470"/>
      <c r="R348" s="470"/>
      <c r="S348" s="471"/>
      <c r="T348" s="179"/>
    </row>
    <row r="349" spans="1:20">
      <c r="A349" s="6"/>
      <c r="B349" s="222" t="s">
        <v>478</v>
      </c>
      <c r="C349" s="214" t="s">
        <v>395</v>
      </c>
      <c r="D349" s="588">
        <f>D343/D331</f>
        <v>52086.956521739128</v>
      </c>
      <c r="E349" s="588">
        <f t="shared" ref="E349:S349" si="86">E343/E331</f>
        <v>52130</v>
      </c>
      <c r="F349" s="588">
        <f t="shared" si="86"/>
        <v>52130</v>
      </c>
      <c r="G349" s="588">
        <f t="shared" si="86"/>
        <v>52130</v>
      </c>
      <c r="H349" s="588">
        <f t="shared" si="86"/>
        <v>52130</v>
      </c>
      <c r="I349" s="588">
        <f t="shared" si="86"/>
        <v>52130</v>
      </c>
      <c r="J349" s="588">
        <f>J343/J331</f>
        <v>52130</v>
      </c>
      <c r="K349" s="588">
        <f>K343/K331</f>
        <v>53820</v>
      </c>
      <c r="L349" s="588">
        <f t="shared" si="86"/>
        <v>53820</v>
      </c>
      <c r="M349" s="588">
        <f t="shared" si="86"/>
        <v>53820</v>
      </c>
      <c r="N349" s="588">
        <f t="shared" si="86"/>
        <v>53820</v>
      </c>
      <c r="O349" s="588">
        <f t="shared" si="86"/>
        <v>53820</v>
      </c>
      <c r="P349" s="588">
        <f t="shared" si="86"/>
        <v>53820</v>
      </c>
      <c r="Q349" s="588">
        <f t="shared" si="86"/>
        <v>53820</v>
      </c>
      <c r="R349" s="588">
        <f t="shared" si="86"/>
        <v>53820</v>
      </c>
      <c r="S349" s="592">
        <f t="shared" si="86"/>
        <v>53820</v>
      </c>
      <c r="T349" s="179"/>
    </row>
    <row r="350" spans="1:20">
      <c r="A350" s="6"/>
      <c r="B350" s="222" t="s">
        <v>209</v>
      </c>
      <c r="C350" s="214" t="s">
        <v>395</v>
      </c>
      <c r="D350" s="83">
        <f>D345/(D333-D340)</f>
        <v>55555.555555555555</v>
      </c>
      <c r="E350" s="83">
        <f t="shared" ref="E350:S350" si="87">E345/(E333-E340)</f>
        <v>55601.465405305142</v>
      </c>
      <c r="F350" s="83">
        <f t="shared" si="87"/>
        <v>55601.465405305142</v>
      </c>
      <c r="G350" s="83">
        <f t="shared" si="87"/>
        <v>55601.465405305142</v>
      </c>
      <c r="H350" s="83">
        <f t="shared" si="87"/>
        <v>55601.465405305142</v>
      </c>
      <c r="I350" s="83">
        <f t="shared" si="87"/>
        <v>55601.465405305142</v>
      </c>
      <c r="J350" s="83">
        <f t="shared" si="87"/>
        <v>55601.465405305142</v>
      </c>
      <c r="K350" s="83">
        <f>K345/(K333-K340)</f>
        <v>57404.006677796337</v>
      </c>
      <c r="L350" s="83">
        <f t="shared" si="87"/>
        <v>57404.006677796337</v>
      </c>
      <c r="M350" s="83">
        <f t="shared" si="87"/>
        <v>57404.006677796337</v>
      </c>
      <c r="N350" s="83">
        <f t="shared" si="87"/>
        <v>57404.006677796337</v>
      </c>
      <c r="O350" s="83">
        <f t="shared" si="87"/>
        <v>57404.006677796337</v>
      </c>
      <c r="P350" s="83">
        <f t="shared" si="87"/>
        <v>57404.006677796337</v>
      </c>
      <c r="Q350" s="83">
        <f t="shared" si="87"/>
        <v>57404.006677796337</v>
      </c>
      <c r="R350" s="83">
        <f t="shared" si="87"/>
        <v>57404.006677796337</v>
      </c>
      <c r="S350" s="226">
        <f t="shared" si="87"/>
        <v>57404.006677796337</v>
      </c>
      <c r="T350" s="179"/>
    </row>
    <row r="351" spans="1:20">
      <c r="A351" s="6"/>
      <c r="B351" s="222" t="s">
        <v>408</v>
      </c>
      <c r="C351" s="214" t="s">
        <v>395</v>
      </c>
      <c r="D351" s="83"/>
      <c r="E351" s="83"/>
      <c r="F351" s="83"/>
      <c r="G351" s="83"/>
      <c r="H351" s="83"/>
      <c r="I351" s="83"/>
      <c r="J351" s="83"/>
      <c r="K351" s="83"/>
      <c r="L351" s="83"/>
      <c r="M351" s="83"/>
      <c r="N351" s="83"/>
      <c r="O351" s="83"/>
      <c r="P351" s="83"/>
      <c r="Q351" s="83"/>
      <c r="R351" s="83"/>
      <c r="S351" s="226"/>
      <c r="T351" s="179"/>
    </row>
    <row r="352" spans="1:20">
      <c r="A352" s="6"/>
      <c r="B352" s="222" t="s">
        <v>344</v>
      </c>
      <c r="C352" s="214" t="s">
        <v>395</v>
      </c>
      <c r="D352" s="83">
        <f>IF(D341&gt;0,D347/D341,0)</f>
        <v>0</v>
      </c>
      <c r="E352" s="83">
        <f t="shared" ref="E352:S352" si="88">IF(E341&gt;0,E347/E341,0)</f>
        <v>0</v>
      </c>
      <c r="F352" s="83">
        <f t="shared" si="88"/>
        <v>0</v>
      </c>
      <c r="G352" s="83">
        <f t="shared" si="88"/>
        <v>0</v>
      </c>
      <c r="H352" s="83">
        <f t="shared" si="88"/>
        <v>0</v>
      </c>
      <c r="I352" s="83">
        <f t="shared" si="88"/>
        <v>0</v>
      </c>
      <c r="J352" s="83">
        <f t="shared" si="88"/>
        <v>0</v>
      </c>
      <c r="K352" s="83">
        <f t="shared" si="88"/>
        <v>50000</v>
      </c>
      <c r="L352" s="83">
        <f t="shared" si="88"/>
        <v>50000</v>
      </c>
      <c r="M352" s="83">
        <f t="shared" si="88"/>
        <v>50000</v>
      </c>
      <c r="N352" s="83">
        <f t="shared" si="88"/>
        <v>50000</v>
      </c>
      <c r="O352" s="83">
        <f t="shared" si="88"/>
        <v>50000</v>
      </c>
      <c r="P352" s="83">
        <f t="shared" si="88"/>
        <v>50000</v>
      </c>
      <c r="Q352" s="83">
        <f t="shared" si="88"/>
        <v>50000</v>
      </c>
      <c r="R352" s="83">
        <f t="shared" si="88"/>
        <v>50000</v>
      </c>
      <c r="S352" s="226">
        <f t="shared" si="88"/>
        <v>50000</v>
      </c>
      <c r="T352" s="179"/>
    </row>
    <row r="353" spans="1:20" ht="12.75" thickBot="1">
      <c r="A353" s="6"/>
      <c r="B353" s="472" t="s">
        <v>298</v>
      </c>
      <c r="C353" s="469" t="s">
        <v>28</v>
      </c>
      <c r="D353" s="473">
        <v>7.3170731707317069E-2</v>
      </c>
      <c r="E353" s="473">
        <v>1.0731707317073171</v>
      </c>
      <c r="F353" s="473">
        <v>2.0731707317073171</v>
      </c>
      <c r="G353" s="473">
        <v>3.0731707317073171</v>
      </c>
      <c r="H353" s="473">
        <v>4.0731707317073171</v>
      </c>
      <c r="I353" s="473">
        <v>5.0731707317073171</v>
      </c>
      <c r="J353" s="473">
        <v>6.0731707317073171</v>
      </c>
      <c r="K353" s="473">
        <v>1</v>
      </c>
      <c r="L353" s="473">
        <v>2</v>
      </c>
      <c r="M353" s="473">
        <v>3</v>
      </c>
      <c r="N353" s="473">
        <v>4</v>
      </c>
      <c r="O353" s="473">
        <v>5</v>
      </c>
      <c r="P353" s="473">
        <v>6</v>
      </c>
      <c r="Q353" s="473">
        <v>7</v>
      </c>
      <c r="R353" s="473">
        <v>8</v>
      </c>
      <c r="S353" s="474">
        <v>3.5365853658536586</v>
      </c>
      <c r="T353" s="179"/>
    </row>
    <row r="354" spans="1:20" s="4" customFormat="1" ht="12.75">
      <c r="B354" s="64"/>
      <c r="C354" s="64"/>
      <c r="D354" s="64"/>
      <c r="E354" s="77"/>
      <c r="F354" s="50"/>
      <c r="G354" s="50"/>
      <c r="H354" s="65"/>
      <c r="I354" s="50"/>
      <c r="J354" s="54"/>
      <c r="K354" s="55"/>
    </row>
    <row r="355" spans="1:20" s="4" customFormat="1" ht="12.75">
      <c r="B355" s="64"/>
      <c r="C355" s="64"/>
      <c r="D355" s="64"/>
      <c r="E355" s="77"/>
      <c r="F355" s="50"/>
      <c r="G355" s="50"/>
      <c r="H355" s="65"/>
      <c r="I355" s="50"/>
      <c r="J355" s="54"/>
      <c r="K355" s="55"/>
    </row>
    <row r="356" spans="1:20" s="4" customFormat="1" ht="12.75">
      <c r="B356" s="64"/>
      <c r="C356" s="64"/>
      <c r="D356" s="64"/>
      <c r="E356" s="77"/>
      <c r="F356" s="50"/>
      <c r="G356" s="50"/>
      <c r="H356" s="65"/>
      <c r="I356" s="50"/>
      <c r="J356" s="54"/>
      <c r="K356" s="55"/>
    </row>
    <row r="357" spans="1:20" s="4" customFormat="1" ht="12.75">
      <c r="B357" s="64"/>
      <c r="C357" s="64"/>
      <c r="D357" s="64"/>
      <c r="E357" s="77"/>
      <c r="F357" s="50"/>
      <c r="G357" s="50"/>
      <c r="H357" s="65"/>
      <c r="I357" s="50"/>
      <c r="J357" s="54"/>
      <c r="K357" s="55"/>
    </row>
    <row r="358" spans="1:20" s="4" customFormat="1" ht="20.25">
      <c r="B358" s="57"/>
      <c r="C358" s="57"/>
      <c r="D358" s="57"/>
      <c r="E358" s="57"/>
      <c r="F358" s="57"/>
      <c r="G358" s="57"/>
      <c r="H358" s="57"/>
      <c r="I358" s="57"/>
      <c r="J358" s="57"/>
      <c r="K358" s="57"/>
    </row>
    <row r="359" spans="1:20" s="4" customFormat="1" ht="33" customHeight="1">
      <c r="B359" s="618"/>
      <c r="C359" s="618"/>
      <c r="D359" s="618"/>
      <c r="E359" s="618"/>
      <c r="F359" s="618"/>
      <c r="G359" s="57"/>
      <c r="H359" s="57"/>
      <c r="I359" s="57"/>
      <c r="J359" s="57"/>
      <c r="K359" s="57"/>
    </row>
    <row r="360" spans="1:20" s="4" customFormat="1" ht="12.75">
      <c r="B360" s="68"/>
      <c r="C360" s="68"/>
      <c r="D360" s="68"/>
      <c r="E360" s="68"/>
      <c r="F360" s="68"/>
      <c r="G360" s="68"/>
      <c r="H360" s="68"/>
      <c r="I360" s="69"/>
      <c r="J360" s="69"/>
      <c r="K360" s="615"/>
    </row>
    <row r="361" spans="1:20" s="4" customFormat="1" ht="12.75">
      <c r="B361" s="68"/>
      <c r="C361" s="68"/>
      <c r="D361" s="68"/>
      <c r="E361" s="68"/>
      <c r="F361" s="68"/>
      <c r="G361" s="68"/>
      <c r="H361" s="68"/>
      <c r="I361" s="69"/>
      <c r="J361" s="69"/>
      <c r="K361" s="615"/>
    </row>
    <row r="362" spans="1:20" s="4" customFormat="1" ht="12.75">
      <c r="B362" s="36"/>
      <c r="C362" s="36"/>
      <c r="D362" s="36"/>
      <c r="E362" s="36"/>
      <c r="F362" s="36"/>
      <c r="G362" s="36"/>
      <c r="H362" s="36"/>
      <c r="I362" s="36"/>
      <c r="J362" s="50"/>
      <c r="K362" s="36"/>
    </row>
    <row r="363" spans="1:20" s="4" customFormat="1" ht="12.75">
      <c r="B363" s="36"/>
      <c r="C363" s="36"/>
      <c r="D363" s="36"/>
      <c r="E363" s="36"/>
      <c r="F363" s="36"/>
      <c r="G363" s="36"/>
      <c r="H363" s="36"/>
      <c r="I363" s="58"/>
      <c r="J363" s="70"/>
      <c r="K363" s="50"/>
    </row>
    <row r="364" spans="1:20" s="4" customFormat="1" ht="12.75">
      <c r="B364" s="36"/>
      <c r="C364" s="36"/>
      <c r="D364" s="36"/>
      <c r="E364" s="36"/>
      <c r="F364" s="36"/>
      <c r="G364" s="36"/>
      <c r="H364" s="36"/>
      <c r="I364" s="59"/>
      <c r="J364" s="70"/>
      <c r="K364" s="50"/>
    </row>
    <row r="365" spans="1:20" s="4" customFormat="1" ht="12.75">
      <c r="B365" s="36"/>
      <c r="C365" s="36"/>
      <c r="D365" s="36"/>
      <c r="E365" s="36"/>
      <c r="F365" s="36"/>
      <c r="G365" s="36"/>
      <c r="H365" s="36"/>
      <c r="I365" s="60"/>
      <c r="J365" s="70"/>
      <c r="K365" s="50"/>
    </row>
    <row r="366" spans="1:20" s="4" customFormat="1" ht="12.75">
      <c r="B366" s="36"/>
      <c r="C366" s="36"/>
      <c r="D366" s="36"/>
      <c r="E366" s="36"/>
      <c r="F366" s="36"/>
      <c r="G366" s="36"/>
      <c r="H366" s="36"/>
      <c r="I366" s="60"/>
      <c r="J366" s="70"/>
      <c r="K366" s="50"/>
    </row>
    <row r="367" spans="1:20" s="4" customFormat="1" ht="12.75">
      <c r="B367" s="36"/>
      <c r="C367" s="36"/>
      <c r="D367" s="36"/>
      <c r="E367" s="36"/>
      <c r="F367" s="36"/>
      <c r="G367" s="36"/>
      <c r="H367" s="36"/>
      <c r="I367" s="60"/>
      <c r="J367" s="70"/>
      <c r="K367" s="50"/>
    </row>
    <row r="368" spans="1:20" s="4" customFormat="1" ht="12.75">
      <c r="B368" s="36"/>
      <c r="C368" s="36"/>
      <c r="D368" s="36"/>
      <c r="E368" s="36"/>
      <c r="F368" s="36"/>
      <c r="G368" s="36"/>
      <c r="H368" s="36"/>
      <c r="I368" s="60"/>
      <c r="J368" s="70"/>
      <c r="K368" s="50"/>
    </row>
    <row r="369" spans="2:11" s="4" customFormat="1" ht="12.75">
      <c r="B369" s="36"/>
      <c r="C369" s="36"/>
      <c r="D369" s="36"/>
      <c r="E369" s="36"/>
      <c r="F369" s="36"/>
      <c r="G369" s="36"/>
      <c r="H369" s="36"/>
      <c r="I369" s="36"/>
      <c r="J369" s="36"/>
      <c r="K369" s="36"/>
    </row>
    <row r="370" spans="2:11" s="4" customFormat="1" ht="12.75">
      <c r="B370" s="68"/>
      <c r="C370" s="68"/>
      <c r="D370" s="68"/>
      <c r="E370" s="68"/>
      <c r="F370" s="68"/>
      <c r="G370" s="68"/>
      <c r="H370" s="68"/>
      <c r="I370" s="622"/>
      <c r="J370" s="71"/>
      <c r="K370" s="71"/>
    </row>
    <row r="371" spans="2:11" s="4" customFormat="1" ht="12.75">
      <c r="B371" s="68"/>
      <c r="C371" s="68"/>
      <c r="D371" s="68"/>
      <c r="E371" s="68"/>
      <c r="F371" s="68"/>
      <c r="G371" s="68"/>
      <c r="H371" s="68"/>
      <c r="I371" s="622"/>
      <c r="J371" s="71"/>
      <c r="K371" s="71"/>
    </row>
    <row r="372" spans="2:11" s="4" customFormat="1" ht="12.75">
      <c r="B372" s="61"/>
      <c r="C372" s="61"/>
      <c r="D372" s="61"/>
      <c r="E372" s="36"/>
      <c r="F372" s="62"/>
      <c r="G372" s="62"/>
      <c r="H372" s="36"/>
      <c r="I372" s="62"/>
      <c r="J372" s="72"/>
      <c r="K372" s="50"/>
    </row>
    <row r="373" spans="2:11" s="4" customFormat="1" ht="12.75">
      <c r="B373" s="36"/>
      <c r="C373" s="36"/>
      <c r="D373" s="36"/>
      <c r="E373" s="36"/>
      <c r="F373" s="36"/>
      <c r="G373" s="36"/>
      <c r="H373" s="36"/>
      <c r="I373" s="50"/>
      <c r="J373" s="50"/>
      <c r="K373" s="70"/>
    </row>
    <row r="374" spans="2:11" s="4" customFormat="1" ht="12.75">
      <c r="B374" s="36"/>
      <c r="C374" s="36"/>
      <c r="D374" s="36"/>
      <c r="E374" s="36"/>
      <c r="F374" s="36"/>
      <c r="G374" s="36"/>
      <c r="H374" s="36"/>
      <c r="I374" s="70"/>
      <c r="J374" s="50"/>
      <c r="K374" s="50"/>
    </row>
    <row r="375" spans="2:11" s="4" customFormat="1" ht="12.75">
      <c r="B375" s="36"/>
      <c r="C375" s="36"/>
      <c r="D375" s="36"/>
      <c r="E375" s="36"/>
      <c r="F375" s="36"/>
      <c r="G375" s="36"/>
      <c r="H375" s="36"/>
      <c r="I375" s="47"/>
      <c r="J375" s="50"/>
      <c r="K375" s="50"/>
    </row>
    <row r="376" spans="2:11" s="4" customFormat="1" ht="12.75">
      <c r="B376" s="36"/>
      <c r="C376" s="36"/>
      <c r="D376" s="36"/>
      <c r="E376" s="36"/>
      <c r="F376" s="36"/>
      <c r="G376" s="36"/>
      <c r="H376" s="36"/>
      <c r="I376" s="73"/>
      <c r="J376" s="50"/>
      <c r="K376" s="50"/>
    </row>
    <row r="377" spans="2:11" s="4" customFormat="1" ht="12.75">
      <c r="B377" s="36"/>
      <c r="C377" s="36"/>
      <c r="D377" s="36"/>
      <c r="E377" s="36"/>
      <c r="F377" s="36"/>
      <c r="G377" s="36"/>
      <c r="H377" s="50"/>
      <c r="I377" s="36"/>
      <c r="J377" s="36"/>
      <c r="K377" s="36"/>
    </row>
    <row r="378" spans="2:11" s="4" customFormat="1" ht="12.75">
      <c r="B378" s="63"/>
      <c r="C378" s="63"/>
      <c r="D378" s="63"/>
      <c r="E378" s="36"/>
      <c r="F378" s="36"/>
      <c r="G378" s="36"/>
      <c r="H378" s="50"/>
      <c r="I378" s="36"/>
      <c r="J378" s="36"/>
      <c r="K378" s="36"/>
    </row>
    <row r="379" spans="2:11" s="4" customFormat="1" ht="12.75">
      <c r="B379" s="36"/>
      <c r="C379" s="36"/>
      <c r="D379" s="36"/>
      <c r="E379" s="74"/>
      <c r="F379" s="36"/>
      <c r="G379" s="36"/>
      <c r="H379" s="36"/>
      <c r="I379" s="36"/>
      <c r="J379" s="36"/>
      <c r="K379" s="36"/>
    </row>
    <row r="380" spans="2:11" s="4" customFormat="1" ht="12.75">
      <c r="B380" s="619"/>
      <c r="C380" s="128"/>
      <c r="D380" s="127"/>
      <c r="E380" s="75"/>
      <c r="F380" s="75"/>
      <c r="G380" s="619"/>
      <c r="H380" s="619"/>
      <c r="I380" s="619"/>
      <c r="J380" s="619"/>
      <c r="K380" s="619"/>
    </row>
    <row r="381" spans="2:11" s="4" customFormat="1" ht="12.75">
      <c r="B381" s="619"/>
      <c r="C381" s="128"/>
      <c r="D381" s="127"/>
      <c r="E381" s="75"/>
      <c r="F381" s="75"/>
      <c r="G381" s="75"/>
      <c r="H381" s="75"/>
      <c r="I381" s="620"/>
      <c r="J381" s="620"/>
      <c r="K381" s="620"/>
    </row>
    <row r="382" spans="2:11" s="4" customFormat="1" ht="12.75">
      <c r="B382" s="64"/>
      <c r="C382" s="64"/>
      <c r="D382" s="64"/>
      <c r="E382" s="76"/>
      <c r="F382" s="50"/>
      <c r="G382" s="50"/>
      <c r="H382" s="65"/>
      <c r="I382" s="50"/>
      <c r="J382" s="50"/>
      <c r="K382" s="55"/>
    </row>
    <row r="383" spans="2:11" s="4" customFormat="1" ht="12.75">
      <c r="B383" s="64"/>
      <c r="C383" s="64"/>
      <c r="D383" s="64"/>
      <c r="E383" s="76"/>
      <c r="F383" s="50"/>
      <c r="G383" s="50"/>
      <c r="H383" s="65"/>
      <c r="I383" s="50"/>
      <c r="J383" s="54"/>
      <c r="K383" s="55"/>
    </row>
    <row r="384" spans="2:11" s="4" customFormat="1" ht="12.75">
      <c r="B384" s="64"/>
      <c r="C384" s="64"/>
      <c r="D384" s="64"/>
      <c r="E384" s="76"/>
      <c r="F384" s="50"/>
      <c r="G384" s="50"/>
      <c r="H384" s="65"/>
      <c r="I384" s="50"/>
      <c r="J384" s="54"/>
      <c r="K384" s="36"/>
    </row>
    <row r="385" spans="2:11" s="4" customFormat="1" ht="12.75">
      <c r="B385" s="64"/>
      <c r="C385" s="64"/>
      <c r="D385" s="64"/>
      <c r="E385" s="76"/>
      <c r="F385" s="50"/>
      <c r="G385" s="50"/>
      <c r="H385" s="65"/>
      <c r="I385" s="50"/>
      <c r="J385" s="54"/>
      <c r="K385" s="55"/>
    </row>
    <row r="386" spans="2:11" s="4" customFormat="1" ht="12.75">
      <c r="B386" s="64"/>
      <c r="C386" s="64"/>
      <c r="D386" s="64"/>
      <c r="E386" s="77"/>
      <c r="F386" s="50"/>
      <c r="G386" s="50"/>
      <c r="H386" s="65"/>
      <c r="I386" s="50"/>
      <c r="J386" s="54"/>
      <c r="K386" s="55"/>
    </row>
    <row r="387" spans="2:11" s="4" customFormat="1" ht="12.75">
      <c r="B387" s="64"/>
      <c r="C387" s="64"/>
      <c r="D387" s="64"/>
      <c r="E387" s="77"/>
      <c r="F387" s="50"/>
      <c r="G387" s="50"/>
      <c r="H387" s="65"/>
      <c r="I387" s="50"/>
      <c r="J387" s="54"/>
      <c r="K387" s="55"/>
    </row>
    <row r="388" spans="2:11" s="4" customFormat="1" ht="12.75">
      <c r="B388" s="64"/>
      <c r="C388" s="64"/>
      <c r="D388" s="64"/>
      <c r="E388" s="77"/>
      <c r="F388" s="50"/>
      <c r="G388" s="50"/>
      <c r="H388" s="65"/>
      <c r="I388" s="50"/>
      <c r="J388" s="54"/>
      <c r="K388" s="55"/>
    </row>
    <row r="389" spans="2:11" s="4" customFormat="1" ht="12.75">
      <c r="B389" s="64"/>
      <c r="C389" s="64"/>
      <c r="D389" s="64"/>
      <c r="E389" s="77"/>
      <c r="F389" s="50"/>
      <c r="G389" s="50"/>
      <c r="H389" s="65"/>
      <c r="I389" s="50"/>
      <c r="J389" s="54"/>
      <c r="K389" s="55"/>
    </row>
    <row r="390" spans="2:11" s="4" customFormat="1" ht="12.75">
      <c r="B390" s="64"/>
      <c r="C390" s="64"/>
      <c r="D390" s="64"/>
      <c r="E390" s="77"/>
      <c r="F390" s="50"/>
      <c r="G390" s="50"/>
      <c r="H390" s="65"/>
      <c r="I390" s="50"/>
      <c r="J390" s="54"/>
      <c r="K390" s="55"/>
    </row>
    <row r="391" spans="2:11" s="4" customFormat="1" ht="12.75">
      <c r="B391" s="64"/>
      <c r="C391" s="64"/>
      <c r="D391" s="64"/>
      <c r="E391" s="77"/>
      <c r="F391" s="50"/>
      <c r="G391" s="50"/>
      <c r="H391" s="65"/>
      <c r="I391" s="50"/>
      <c r="J391" s="54"/>
      <c r="K391" s="55"/>
    </row>
    <row r="392" spans="2:11" s="4" customFormat="1" ht="12.75">
      <c r="B392" s="64"/>
      <c r="C392" s="64"/>
      <c r="D392" s="64"/>
      <c r="E392" s="77"/>
      <c r="F392" s="50"/>
      <c r="G392" s="50"/>
      <c r="H392" s="65"/>
      <c r="I392" s="50"/>
      <c r="J392" s="54"/>
      <c r="K392" s="55"/>
    </row>
    <row r="393" spans="2:11" s="4" customFormat="1" ht="12.75">
      <c r="B393" s="64"/>
      <c r="C393" s="64"/>
      <c r="D393" s="64"/>
      <c r="E393" s="77"/>
      <c r="F393" s="50"/>
      <c r="G393" s="50"/>
      <c r="H393" s="65"/>
      <c r="I393" s="50"/>
      <c r="J393" s="54"/>
      <c r="K393" s="55"/>
    </row>
    <row r="394" spans="2:11" s="4" customFormat="1" ht="12.75">
      <c r="B394" s="64"/>
      <c r="C394" s="64"/>
      <c r="D394" s="64"/>
      <c r="E394" s="77"/>
      <c r="F394" s="50"/>
      <c r="G394" s="50"/>
      <c r="H394" s="65"/>
      <c r="I394" s="50"/>
      <c r="J394" s="54"/>
      <c r="K394" s="55"/>
    </row>
    <row r="395" spans="2:11" s="4" customFormat="1" ht="12.75">
      <c r="B395" s="64"/>
      <c r="C395" s="64"/>
      <c r="D395" s="64"/>
      <c r="E395" s="77"/>
      <c r="F395" s="50"/>
      <c r="G395" s="50"/>
      <c r="H395" s="65"/>
      <c r="I395" s="50"/>
      <c r="J395" s="54"/>
      <c r="K395" s="55"/>
    </row>
    <row r="396" spans="2:11" s="4" customFormat="1" ht="12.75">
      <c r="B396" s="64"/>
      <c r="C396" s="64"/>
      <c r="D396" s="64"/>
      <c r="E396" s="77"/>
      <c r="F396" s="50"/>
      <c r="G396" s="50"/>
      <c r="H396" s="65"/>
      <c r="I396" s="50"/>
      <c r="J396" s="54"/>
      <c r="K396" s="55"/>
    </row>
    <row r="397" spans="2:11" s="4" customFormat="1" ht="12.75">
      <c r="B397" s="64"/>
      <c r="C397" s="64"/>
      <c r="D397" s="64"/>
      <c r="E397" s="77"/>
      <c r="F397" s="50"/>
      <c r="G397" s="50"/>
      <c r="H397" s="65"/>
      <c r="I397" s="50"/>
      <c r="J397" s="54"/>
      <c r="K397" s="55"/>
    </row>
    <row r="398" spans="2:11" s="4" customFormat="1" ht="12.75">
      <c r="B398" s="64"/>
      <c r="C398" s="64"/>
      <c r="D398" s="64"/>
      <c r="E398" s="77"/>
      <c r="F398" s="50"/>
      <c r="G398" s="50"/>
      <c r="H398" s="65"/>
      <c r="I398" s="50"/>
      <c r="J398" s="54"/>
      <c r="K398" s="55"/>
    </row>
    <row r="399" spans="2:11" s="4" customFormat="1" ht="12.75">
      <c r="B399" s="64"/>
      <c r="C399" s="64"/>
      <c r="D399" s="64"/>
      <c r="E399" s="77"/>
      <c r="F399" s="50"/>
      <c r="G399" s="50"/>
      <c r="H399" s="65"/>
      <c r="I399" s="50"/>
      <c r="J399" s="54"/>
      <c r="K399" s="55"/>
    </row>
    <row r="400" spans="2:11" s="4" customFormat="1" ht="12.75">
      <c r="B400" s="64"/>
      <c r="C400" s="64"/>
      <c r="D400" s="64"/>
      <c r="E400" s="77"/>
      <c r="F400" s="50"/>
      <c r="G400" s="50"/>
      <c r="H400" s="65"/>
      <c r="I400" s="50"/>
      <c r="J400" s="54"/>
      <c r="K400" s="55"/>
    </row>
    <row r="401" spans="2:11" s="4" customFormat="1" ht="12.75">
      <c r="B401" s="64"/>
      <c r="C401" s="64"/>
      <c r="D401" s="64"/>
      <c r="E401" s="77"/>
      <c r="F401" s="50"/>
      <c r="G401" s="50"/>
      <c r="H401" s="65"/>
      <c r="I401" s="50"/>
      <c r="J401" s="54"/>
      <c r="K401" s="55"/>
    </row>
    <row r="402" spans="2:11" s="4" customFormat="1" ht="12.75">
      <c r="B402" s="64"/>
      <c r="C402" s="64"/>
      <c r="D402" s="64"/>
      <c r="E402" s="77"/>
      <c r="F402" s="50"/>
      <c r="G402" s="50"/>
      <c r="H402" s="65"/>
      <c r="I402" s="50"/>
      <c r="J402" s="54"/>
      <c r="K402" s="55"/>
    </row>
    <row r="403" spans="2:11" s="4" customFormat="1" ht="12.75">
      <c r="B403" s="64"/>
      <c r="C403" s="64"/>
      <c r="D403" s="64"/>
      <c r="E403" s="77"/>
      <c r="F403" s="50"/>
      <c r="G403" s="50"/>
      <c r="H403" s="65"/>
      <c r="I403" s="50"/>
      <c r="J403" s="54"/>
      <c r="K403" s="55"/>
    </row>
    <row r="404" spans="2:11" s="4" customFormat="1" ht="12.75">
      <c r="B404" s="64"/>
      <c r="C404" s="64"/>
      <c r="D404" s="64"/>
      <c r="E404" s="77"/>
      <c r="F404" s="50"/>
      <c r="G404" s="50"/>
      <c r="H404" s="65"/>
      <c r="I404" s="50"/>
      <c r="J404" s="54"/>
      <c r="K404" s="55"/>
    </row>
    <row r="405" spans="2:11" s="4" customFormat="1" ht="12.75">
      <c r="B405" s="64"/>
      <c r="C405" s="64"/>
      <c r="D405" s="64"/>
      <c r="E405" s="77"/>
      <c r="F405" s="50"/>
      <c r="G405" s="50"/>
      <c r="H405" s="65"/>
      <c r="I405" s="50"/>
      <c r="J405" s="54"/>
      <c r="K405" s="55"/>
    </row>
    <row r="406" spans="2:11" s="4" customFormat="1" ht="12.75">
      <c r="B406" s="64"/>
      <c r="C406" s="64"/>
      <c r="D406" s="64"/>
      <c r="E406" s="77"/>
      <c r="F406" s="50"/>
      <c r="G406" s="50"/>
      <c r="H406" s="65"/>
      <c r="I406" s="50"/>
      <c r="J406" s="54"/>
      <c r="K406" s="55"/>
    </row>
    <row r="409" spans="2:11" ht="20.25">
      <c r="B409" s="52"/>
      <c r="C409" s="52"/>
      <c r="D409" s="52"/>
      <c r="E409" s="51"/>
      <c r="I409" s="53"/>
      <c r="J409" s="53"/>
      <c r="K409" s="53"/>
    </row>
    <row r="410" spans="2:11" ht="20.25">
      <c r="B410" s="53"/>
      <c r="C410" s="53"/>
      <c r="D410" s="53"/>
      <c r="E410" s="53"/>
      <c r="F410" s="53"/>
      <c r="G410" s="53"/>
      <c r="H410" s="53"/>
      <c r="I410" s="53"/>
      <c r="J410" s="53"/>
      <c r="K410" s="53"/>
    </row>
    <row r="411" spans="2:11" s="4" customFormat="1" ht="42.75" customHeight="1">
      <c r="B411" s="618"/>
      <c r="C411" s="618"/>
      <c r="D411" s="618"/>
      <c r="E411" s="618"/>
      <c r="F411" s="618"/>
      <c r="G411" s="57"/>
      <c r="H411" s="57"/>
      <c r="I411" s="57"/>
      <c r="J411" s="57"/>
      <c r="K411" s="57"/>
    </row>
    <row r="412" spans="2:11" s="4" customFormat="1" ht="12.75">
      <c r="B412" s="68"/>
      <c r="C412" s="68"/>
      <c r="D412" s="68"/>
      <c r="E412" s="68"/>
      <c r="F412" s="68"/>
      <c r="G412" s="68"/>
      <c r="H412" s="68"/>
      <c r="I412" s="69"/>
      <c r="J412" s="69"/>
      <c r="K412" s="615"/>
    </row>
    <row r="413" spans="2:11" s="4" customFormat="1" ht="12.75">
      <c r="B413" s="68"/>
      <c r="C413" s="68"/>
      <c r="D413" s="68"/>
      <c r="E413" s="68"/>
      <c r="F413" s="68"/>
      <c r="G413" s="68"/>
      <c r="H413" s="68"/>
      <c r="I413" s="69"/>
      <c r="J413" s="69"/>
      <c r="K413" s="615"/>
    </row>
    <row r="414" spans="2:11" s="4" customFormat="1" ht="12.75">
      <c r="B414" s="36"/>
      <c r="C414" s="36"/>
      <c r="D414" s="36"/>
      <c r="E414" s="36"/>
      <c r="F414" s="36"/>
      <c r="G414" s="36"/>
      <c r="H414" s="36"/>
      <c r="I414" s="36"/>
      <c r="J414" s="50"/>
      <c r="K414" s="36"/>
    </row>
    <row r="415" spans="2:11" s="4" customFormat="1" ht="12.75">
      <c r="B415" s="36"/>
      <c r="C415" s="36"/>
      <c r="D415" s="36"/>
      <c r="E415" s="36"/>
      <c r="F415" s="36"/>
      <c r="G415" s="36"/>
      <c r="H415" s="36"/>
      <c r="I415" s="58"/>
      <c r="J415" s="70"/>
      <c r="K415" s="50"/>
    </row>
    <row r="416" spans="2:11" s="4" customFormat="1" ht="12.75">
      <c r="B416" s="36"/>
      <c r="C416" s="36"/>
      <c r="D416" s="36"/>
      <c r="E416" s="36"/>
      <c r="F416" s="36"/>
      <c r="G416" s="36"/>
      <c r="H416" s="36"/>
      <c r="I416" s="59"/>
      <c r="J416" s="70"/>
      <c r="K416" s="50"/>
    </row>
    <row r="417" spans="2:11" s="4" customFormat="1" ht="12.75">
      <c r="B417" s="36"/>
      <c r="C417" s="36"/>
      <c r="D417" s="36"/>
      <c r="E417" s="36"/>
      <c r="F417" s="36"/>
      <c r="G417" s="36"/>
      <c r="H417" s="36"/>
      <c r="I417" s="60"/>
      <c r="J417" s="70"/>
      <c r="K417" s="50"/>
    </row>
    <row r="418" spans="2:11" s="4" customFormat="1" ht="12.75">
      <c r="B418" s="36"/>
      <c r="C418" s="36"/>
      <c r="D418" s="36"/>
      <c r="E418" s="36"/>
      <c r="F418" s="36"/>
      <c r="G418" s="36"/>
      <c r="H418" s="36"/>
      <c r="I418" s="60"/>
      <c r="J418" s="70"/>
      <c r="K418" s="50"/>
    </row>
    <row r="419" spans="2:11" s="4" customFormat="1" ht="12.75">
      <c r="B419" s="36"/>
      <c r="C419" s="36"/>
      <c r="D419" s="36"/>
      <c r="E419" s="36"/>
      <c r="F419" s="36"/>
      <c r="G419" s="36"/>
      <c r="H419" s="36"/>
      <c r="I419" s="60"/>
      <c r="J419" s="70"/>
      <c r="K419" s="50"/>
    </row>
    <row r="420" spans="2:11" s="4" customFormat="1" ht="12.75">
      <c r="B420" s="36"/>
      <c r="C420" s="36"/>
      <c r="D420" s="36"/>
      <c r="E420" s="36"/>
      <c r="F420" s="36"/>
      <c r="G420" s="36"/>
      <c r="H420" s="36"/>
      <c r="I420" s="60"/>
      <c r="J420" s="70"/>
      <c r="K420" s="50"/>
    </row>
    <row r="421" spans="2:11" s="4" customFormat="1" ht="12.75">
      <c r="B421" s="36"/>
      <c r="C421" s="36"/>
      <c r="D421" s="36"/>
      <c r="E421" s="36"/>
      <c r="F421" s="36"/>
      <c r="G421" s="36"/>
      <c r="H421" s="36"/>
      <c r="I421" s="36"/>
      <c r="J421" s="36"/>
      <c r="K421" s="36"/>
    </row>
    <row r="422" spans="2:11" s="4" customFormat="1" ht="12.75">
      <c r="B422" s="68"/>
      <c r="C422" s="68"/>
      <c r="D422" s="68"/>
      <c r="E422" s="68"/>
      <c r="F422" s="68"/>
      <c r="G422" s="68"/>
      <c r="H422" s="68"/>
      <c r="I422" s="622"/>
      <c r="J422" s="71"/>
      <c r="K422" s="71"/>
    </row>
    <row r="423" spans="2:11" s="4" customFormat="1" ht="12.75">
      <c r="B423" s="68"/>
      <c r="C423" s="68"/>
      <c r="D423" s="68"/>
      <c r="E423" s="68"/>
      <c r="F423" s="68"/>
      <c r="G423" s="68"/>
      <c r="H423" s="68"/>
      <c r="I423" s="622"/>
      <c r="J423" s="71"/>
      <c r="K423" s="71"/>
    </row>
    <row r="424" spans="2:11" s="4" customFormat="1" ht="12.75">
      <c r="B424" s="61"/>
      <c r="C424" s="61"/>
      <c r="D424" s="61"/>
      <c r="E424" s="36"/>
      <c r="F424" s="62"/>
      <c r="G424" s="62"/>
      <c r="H424" s="36"/>
      <c r="I424" s="62"/>
      <c r="J424" s="72"/>
      <c r="K424" s="50"/>
    </row>
    <row r="425" spans="2:11" s="4" customFormat="1" ht="12.75">
      <c r="B425" s="36"/>
      <c r="C425" s="36"/>
      <c r="D425" s="36"/>
      <c r="E425" s="36"/>
      <c r="F425" s="36"/>
      <c r="G425" s="36"/>
      <c r="H425" s="36"/>
      <c r="I425" s="50"/>
      <c r="J425" s="50"/>
      <c r="K425" s="70"/>
    </row>
    <row r="426" spans="2:11" s="4" customFormat="1" ht="12.75">
      <c r="B426" s="36"/>
      <c r="C426" s="36"/>
      <c r="D426" s="36"/>
      <c r="E426" s="36"/>
      <c r="F426" s="36"/>
      <c r="G426" s="36"/>
      <c r="H426" s="36"/>
      <c r="I426" s="70"/>
      <c r="J426" s="50"/>
      <c r="K426" s="50"/>
    </row>
    <row r="427" spans="2:11" s="4" customFormat="1" ht="12.75">
      <c r="B427" s="36"/>
      <c r="C427" s="36"/>
      <c r="D427" s="36"/>
      <c r="E427" s="36"/>
      <c r="F427" s="36"/>
      <c r="G427" s="36"/>
      <c r="H427" s="36"/>
      <c r="I427" s="47"/>
      <c r="J427" s="50"/>
      <c r="K427" s="50"/>
    </row>
    <row r="428" spans="2:11" s="4" customFormat="1" ht="12.75">
      <c r="B428" s="36"/>
      <c r="C428" s="36"/>
      <c r="D428" s="36"/>
      <c r="E428" s="36"/>
      <c r="F428" s="36"/>
      <c r="G428" s="36"/>
      <c r="H428" s="36"/>
      <c r="I428" s="73"/>
      <c r="J428" s="50"/>
      <c r="K428" s="50"/>
    </row>
    <row r="429" spans="2:11" s="4" customFormat="1" ht="12.75">
      <c r="B429" s="36"/>
      <c r="C429" s="36"/>
      <c r="D429" s="36"/>
      <c r="E429" s="36"/>
      <c r="F429" s="36"/>
      <c r="G429" s="36"/>
      <c r="H429" s="50"/>
      <c r="I429" s="36"/>
      <c r="J429" s="36"/>
      <c r="K429" s="36"/>
    </row>
    <row r="430" spans="2:11" s="4" customFormat="1" ht="12.75">
      <c r="B430" s="63"/>
      <c r="C430" s="63"/>
      <c r="D430" s="63"/>
      <c r="E430" s="36"/>
      <c r="F430" s="36"/>
      <c r="G430" s="36"/>
      <c r="H430" s="50"/>
      <c r="I430" s="36"/>
      <c r="J430" s="36"/>
      <c r="K430" s="36"/>
    </row>
    <row r="431" spans="2:11" s="4" customFormat="1" ht="12.75">
      <c r="B431" s="36"/>
      <c r="C431" s="36"/>
      <c r="D431" s="36"/>
      <c r="E431" s="74"/>
      <c r="F431" s="36"/>
      <c r="G431" s="36"/>
      <c r="H431" s="36"/>
      <c r="I431" s="36"/>
      <c r="J431" s="36"/>
      <c r="K431" s="36"/>
    </row>
    <row r="432" spans="2:11" s="4" customFormat="1" ht="12.75">
      <c r="B432" s="619"/>
      <c r="C432" s="128"/>
      <c r="D432" s="127"/>
      <c r="E432" s="75"/>
      <c r="F432" s="75"/>
      <c r="G432" s="619"/>
      <c r="H432" s="619"/>
      <c r="I432" s="619"/>
      <c r="J432" s="619"/>
      <c r="K432" s="619"/>
    </row>
    <row r="433" spans="2:11" s="4" customFormat="1" ht="12.75">
      <c r="B433" s="619"/>
      <c r="C433" s="128"/>
      <c r="D433" s="127"/>
      <c r="E433" s="75"/>
      <c r="F433" s="75"/>
      <c r="G433" s="75"/>
      <c r="H433" s="75"/>
      <c r="I433" s="620"/>
      <c r="J433" s="620"/>
      <c r="K433" s="620"/>
    </row>
    <row r="434" spans="2:11" s="4" customFormat="1" ht="12.75">
      <c r="B434" s="64"/>
      <c r="C434" s="64"/>
      <c r="D434" s="64"/>
      <c r="E434" s="76"/>
      <c r="F434" s="50"/>
      <c r="G434" s="50"/>
      <c r="H434" s="65"/>
      <c r="I434" s="50"/>
      <c r="J434" s="50"/>
      <c r="K434" s="55"/>
    </row>
    <row r="435" spans="2:11" s="4" customFormat="1" ht="12.75">
      <c r="B435" s="64"/>
      <c r="C435" s="64"/>
      <c r="D435" s="64"/>
      <c r="E435" s="76"/>
      <c r="F435" s="50"/>
      <c r="G435" s="50"/>
      <c r="H435" s="65"/>
      <c r="I435" s="50"/>
      <c r="J435" s="54"/>
      <c r="K435" s="55"/>
    </row>
    <row r="436" spans="2:11" s="4" customFormat="1" ht="12.75">
      <c r="B436" s="64"/>
      <c r="C436" s="64"/>
      <c r="D436" s="64"/>
      <c r="E436" s="76"/>
      <c r="F436" s="50"/>
      <c r="G436" s="50"/>
      <c r="H436" s="65"/>
      <c r="I436" s="50"/>
      <c r="J436" s="54"/>
      <c r="K436" s="36"/>
    </row>
    <row r="437" spans="2:11" s="4" customFormat="1" ht="12.75">
      <c r="B437" s="64"/>
      <c r="C437" s="64"/>
      <c r="D437" s="64"/>
      <c r="E437" s="76"/>
      <c r="F437" s="50"/>
      <c r="G437" s="50"/>
      <c r="H437" s="65"/>
      <c r="I437" s="50"/>
      <c r="J437" s="54"/>
      <c r="K437" s="55"/>
    </row>
    <row r="438" spans="2:11" s="4" customFormat="1" ht="12.75">
      <c r="B438" s="64"/>
      <c r="C438" s="64"/>
      <c r="D438" s="64"/>
      <c r="E438" s="77"/>
      <c r="F438" s="50"/>
      <c r="G438" s="50"/>
      <c r="H438" s="65"/>
      <c r="I438" s="50"/>
      <c r="J438" s="54"/>
      <c r="K438" s="55"/>
    </row>
    <row r="439" spans="2:11" s="4" customFormat="1" ht="12.75">
      <c r="B439" s="64"/>
      <c r="C439" s="64"/>
      <c r="D439" s="64"/>
      <c r="E439" s="77"/>
      <c r="F439" s="50"/>
      <c r="G439" s="50"/>
      <c r="H439" s="65"/>
      <c r="I439" s="50"/>
      <c r="J439" s="54"/>
      <c r="K439" s="55"/>
    </row>
    <row r="440" spans="2:11" s="4" customFormat="1" ht="12.75">
      <c r="B440" s="64"/>
      <c r="C440" s="64"/>
      <c r="D440" s="64"/>
      <c r="E440" s="77"/>
      <c r="F440" s="50"/>
      <c r="G440" s="50"/>
      <c r="H440" s="65"/>
      <c r="I440" s="50"/>
      <c r="J440" s="54"/>
      <c r="K440" s="55"/>
    </row>
    <row r="441" spans="2:11" s="4" customFormat="1" ht="12.75">
      <c r="B441" s="64"/>
      <c r="C441" s="64"/>
      <c r="D441" s="64"/>
      <c r="E441" s="77"/>
      <c r="F441" s="50"/>
      <c r="G441" s="50"/>
      <c r="H441" s="65"/>
      <c r="I441" s="50"/>
      <c r="J441" s="54"/>
      <c r="K441" s="55"/>
    </row>
    <row r="442" spans="2:11" s="4" customFormat="1" ht="12.75">
      <c r="B442" s="64"/>
      <c r="C442" s="64"/>
      <c r="D442" s="64"/>
      <c r="E442" s="77"/>
      <c r="F442" s="50"/>
      <c r="G442" s="50"/>
      <c r="H442" s="65"/>
      <c r="I442" s="50"/>
      <c r="J442" s="54"/>
      <c r="K442" s="55"/>
    </row>
    <row r="443" spans="2:11" s="4" customFormat="1" ht="12.75">
      <c r="B443" s="64"/>
      <c r="C443" s="64"/>
      <c r="D443" s="64"/>
      <c r="E443" s="77"/>
      <c r="F443" s="50"/>
      <c r="G443" s="50"/>
      <c r="H443" s="65"/>
      <c r="I443" s="50"/>
      <c r="J443" s="54"/>
      <c r="K443" s="55"/>
    </row>
    <row r="444" spans="2:11" s="4" customFormat="1" ht="12.75">
      <c r="B444" s="64"/>
      <c r="C444" s="64"/>
      <c r="D444" s="64"/>
      <c r="E444" s="77"/>
      <c r="F444" s="50"/>
      <c r="G444" s="50"/>
      <c r="H444" s="65"/>
      <c r="I444" s="50"/>
      <c r="J444" s="54"/>
      <c r="K444" s="55"/>
    </row>
    <row r="445" spans="2:11" s="4" customFormat="1" ht="12.75">
      <c r="B445" s="64"/>
      <c r="C445" s="64"/>
      <c r="D445" s="64"/>
      <c r="E445" s="77"/>
      <c r="F445" s="50"/>
      <c r="G445" s="50"/>
      <c r="H445" s="65"/>
      <c r="I445" s="50"/>
      <c r="J445" s="54"/>
      <c r="K445" s="55"/>
    </row>
    <row r="446" spans="2:11" s="4" customFormat="1" ht="12.75">
      <c r="B446" s="64"/>
      <c r="C446" s="64"/>
      <c r="D446" s="64"/>
      <c r="E446" s="77"/>
      <c r="F446" s="50"/>
      <c r="G446" s="50"/>
      <c r="H446" s="65"/>
      <c r="I446" s="50"/>
      <c r="J446" s="54"/>
      <c r="K446" s="55"/>
    </row>
    <row r="447" spans="2:11" s="4" customFormat="1" ht="12.75">
      <c r="B447" s="64"/>
      <c r="C447" s="64"/>
      <c r="D447" s="64"/>
      <c r="E447" s="77"/>
      <c r="F447" s="50"/>
      <c r="G447" s="50"/>
      <c r="H447" s="65"/>
      <c r="I447" s="50"/>
      <c r="J447" s="54"/>
      <c r="K447" s="55"/>
    </row>
    <row r="448" spans="2:11" s="4" customFormat="1" ht="12.75">
      <c r="B448" s="64"/>
      <c r="C448" s="64"/>
      <c r="D448" s="64"/>
      <c r="E448" s="77"/>
      <c r="F448" s="50"/>
      <c r="G448" s="50"/>
      <c r="H448" s="65"/>
      <c r="I448" s="50"/>
      <c r="J448" s="54"/>
      <c r="K448" s="55"/>
    </row>
    <row r="449" spans="2:11" s="4" customFormat="1" ht="12.75">
      <c r="B449" s="64"/>
      <c r="C449" s="64"/>
      <c r="D449" s="64"/>
      <c r="E449" s="77"/>
      <c r="F449" s="50"/>
      <c r="G449" s="50"/>
      <c r="H449" s="65"/>
      <c r="I449" s="50"/>
      <c r="J449" s="54"/>
      <c r="K449" s="55"/>
    </row>
    <row r="450" spans="2:11" s="4" customFormat="1" ht="12.75">
      <c r="B450" s="64"/>
      <c r="C450" s="64"/>
      <c r="D450" s="64"/>
      <c r="E450" s="77"/>
      <c r="F450" s="50"/>
      <c r="G450" s="50"/>
      <c r="H450" s="65"/>
      <c r="I450" s="50"/>
      <c r="J450" s="54"/>
      <c r="K450" s="55"/>
    </row>
    <row r="451" spans="2:11" s="4" customFormat="1" ht="12.75">
      <c r="B451" s="64"/>
      <c r="C451" s="64"/>
      <c r="D451" s="64"/>
      <c r="E451" s="77"/>
      <c r="F451" s="50"/>
      <c r="G451" s="50"/>
      <c r="H451" s="65"/>
      <c r="I451" s="50"/>
      <c r="J451" s="54"/>
      <c r="K451" s="55"/>
    </row>
    <row r="452" spans="2:11" s="4" customFormat="1" ht="12.75">
      <c r="B452" s="64"/>
      <c r="C452" s="64"/>
      <c r="D452" s="64"/>
      <c r="E452" s="77"/>
      <c r="F452" s="50"/>
      <c r="G452" s="50"/>
      <c r="H452" s="65"/>
      <c r="I452" s="50"/>
      <c r="J452" s="54"/>
      <c r="K452" s="55"/>
    </row>
    <row r="453" spans="2:11" s="4" customFormat="1" ht="12.75">
      <c r="B453" s="64"/>
      <c r="C453" s="64"/>
      <c r="D453" s="64"/>
      <c r="E453" s="77"/>
      <c r="F453" s="50"/>
      <c r="G453" s="50"/>
      <c r="H453" s="65"/>
      <c r="I453" s="50"/>
      <c r="J453" s="54"/>
      <c r="K453" s="55"/>
    </row>
    <row r="454" spans="2:11" s="4" customFormat="1" ht="12.75">
      <c r="B454" s="64"/>
      <c r="C454" s="64"/>
      <c r="D454" s="64"/>
      <c r="E454" s="77"/>
      <c r="F454" s="50"/>
      <c r="G454" s="50"/>
      <c r="H454" s="65"/>
      <c r="I454" s="50"/>
      <c r="J454" s="54"/>
      <c r="K454" s="55"/>
    </row>
    <row r="455" spans="2:11" s="4" customFormat="1" ht="12.75">
      <c r="B455" s="64"/>
      <c r="C455" s="64"/>
      <c r="D455" s="64"/>
      <c r="E455" s="77"/>
      <c r="F455" s="50"/>
      <c r="G455" s="50"/>
      <c r="H455" s="65"/>
      <c r="I455" s="50"/>
      <c r="J455" s="54"/>
      <c r="K455" s="55"/>
    </row>
    <row r="456" spans="2:11" s="4" customFormat="1" ht="12.75">
      <c r="B456" s="64"/>
      <c r="C456" s="64"/>
      <c r="D456" s="64"/>
      <c r="E456" s="77"/>
      <c r="F456" s="50"/>
      <c r="G456" s="50"/>
      <c r="H456" s="65"/>
      <c r="I456" s="50"/>
      <c r="J456" s="54"/>
      <c r="K456" s="55"/>
    </row>
    <row r="457" spans="2:11" s="4" customFormat="1" ht="12.75">
      <c r="B457" s="64"/>
      <c r="C457" s="64"/>
      <c r="D457" s="64"/>
      <c r="E457" s="77"/>
      <c r="F457" s="50"/>
      <c r="G457" s="50"/>
      <c r="H457" s="65"/>
      <c r="I457" s="50"/>
      <c r="J457" s="54"/>
      <c r="K457" s="55"/>
    </row>
    <row r="458" spans="2:11" s="4" customFormat="1" ht="12.75">
      <c r="B458" s="64"/>
      <c r="C458" s="64"/>
      <c r="D458" s="64"/>
      <c r="E458" s="77"/>
      <c r="F458" s="50"/>
      <c r="G458" s="50"/>
      <c r="H458" s="65"/>
      <c r="I458" s="50"/>
      <c r="J458" s="54"/>
      <c r="K458" s="55"/>
    </row>
    <row r="459" spans="2:11" s="4" customFormat="1"/>
    <row r="460" spans="2:11" s="4" customFormat="1" ht="20.25">
      <c r="B460" s="66"/>
      <c r="C460" s="66"/>
      <c r="D460" s="66"/>
      <c r="E460" s="67"/>
      <c r="I460" s="57"/>
      <c r="J460" s="57"/>
      <c r="K460" s="57"/>
    </row>
    <row r="461" spans="2:11" s="4" customFormat="1" ht="41.25" customHeight="1">
      <c r="B461" s="618"/>
      <c r="C461" s="618"/>
      <c r="D461" s="618"/>
      <c r="E461" s="618"/>
      <c r="F461" s="618"/>
      <c r="G461" s="57"/>
      <c r="H461" s="57"/>
      <c r="I461" s="57"/>
      <c r="J461" s="57"/>
      <c r="K461" s="57"/>
    </row>
    <row r="462" spans="2:11" s="4" customFormat="1" ht="12.75">
      <c r="B462" s="68"/>
      <c r="C462" s="68"/>
      <c r="D462" s="68"/>
      <c r="E462" s="68"/>
      <c r="F462" s="68"/>
      <c r="G462" s="68"/>
      <c r="H462" s="68"/>
      <c r="I462" s="69"/>
      <c r="J462" s="69"/>
      <c r="K462" s="615"/>
    </row>
    <row r="463" spans="2:11" s="4" customFormat="1" ht="12.75">
      <c r="B463" s="68"/>
      <c r="C463" s="68"/>
      <c r="D463" s="68"/>
      <c r="E463" s="68"/>
      <c r="F463" s="68"/>
      <c r="G463" s="68"/>
      <c r="H463" s="68"/>
      <c r="I463" s="69"/>
      <c r="J463" s="69"/>
      <c r="K463" s="615"/>
    </row>
    <row r="464" spans="2:11" s="4" customFormat="1" ht="12.75">
      <c r="B464" s="36"/>
      <c r="C464" s="36"/>
      <c r="D464" s="36"/>
      <c r="E464" s="36"/>
      <c r="F464" s="36"/>
      <c r="G464" s="36"/>
      <c r="H464" s="36"/>
      <c r="I464" s="36"/>
      <c r="J464" s="50"/>
      <c r="K464" s="36"/>
    </row>
    <row r="465" spans="2:11" s="4" customFormat="1" ht="12.75">
      <c r="B465" s="36"/>
      <c r="C465" s="36"/>
      <c r="D465" s="36"/>
      <c r="E465" s="36"/>
      <c r="F465" s="36"/>
      <c r="G465" s="36"/>
      <c r="H465" s="36"/>
      <c r="I465" s="58"/>
      <c r="J465" s="70"/>
      <c r="K465" s="50"/>
    </row>
    <row r="466" spans="2:11" s="4" customFormat="1" ht="12.75">
      <c r="B466" s="36"/>
      <c r="C466" s="36"/>
      <c r="D466" s="36"/>
      <c r="E466" s="36"/>
      <c r="F466" s="36"/>
      <c r="G466" s="36"/>
      <c r="H466" s="36"/>
      <c r="I466" s="59"/>
      <c r="J466" s="70"/>
      <c r="K466" s="50"/>
    </row>
    <row r="467" spans="2:11" s="4" customFormat="1" ht="12.75">
      <c r="B467" s="36"/>
      <c r="C467" s="36"/>
      <c r="D467" s="36"/>
      <c r="E467" s="36"/>
      <c r="F467" s="36"/>
      <c r="G467" s="36"/>
      <c r="H467" s="36"/>
      <c r="I467" s="60"/>
      <c r="J467" s="70"/>
      <c r="K467" s="50"/>
    </row>
    <row r="468" spans="2:11" s="4" customFormat="1" ht="12.75">
      <c r="B468" s="36"/>
      <c r="C468" s="36"/>
      <c r="D468" s="36"/>
      <c r="E468" s="36"/>
      <c r="F468" s="36"/>
      <c r="G468" s="36"/>
      <c r="H468" s="36"/>
      <c r="I468" s="60"/>
      <c r="J468" s="70"/>
      <c r="K468" s="50"/>
    </row>
    <row r="469" spans="2:11" s="4" customFormat="1" ht="12.75">
      <c r="B469" s="36"/>
      <c r="C469" s="36"/>
      <c r="D469" s="36"/>
      <c r="E469" s="36"/>
      <c r="F469" s="36"/>
      <c r="G469" s="36"/>
      <c r="H469" s="36"/>
      <c r="I469" s="60"/>
      <c r="J469" s="70"/>
      <c r="K469" s="50"/>
    </row>
    <row r="470" spans="2:11" s="4" customFormat="1" ht="12.75">
      <c r="B470" s="36"/>
      <c r="C470" s="36"/>
      <c r="D470" s="36"/>
      <c r="E470" s="36"/>
      <c r="F470" s="36"/>
      <c r="G470" s="36"/>
      <c r="H470" s="36"/>
      <c r="I470" s="60"/>
      <c r="J470" s="70"/>
      <c r="K470" s="50"/>
    </row>
    <row r="471" spans="2:11" s="4" customFormat="1" ht="12.75">
      <c r="B471" s="36"/>
      <c r="C471" s="36"/>
      <c r="D471" s="36"/>
      <c r="E471" s="36"/>
      <c r="F471" s="36"/>
      <c r="G471" s="36"/>
      <c r="H471" s="36"/>
      <c r="I471" s="36"/>
      <c r="J471" s="36"/>
      <c r="K471" s="36"/>
    </row>
    <row r="472" spans="2:11" s="4" customFormat="1" ht="12.75">
      <c r="B472" s="68"/>
      <c r="C472" s="68"/>
      <c r="D472" s="68"/>
      <c r="E472" s="68"/>
      <c r="F472" s="68"/>
      <c r="G472" s="68"/>
      <c r="H472" s="68"/>
      <c r="I472" s="622"/>
      <c r="J472" s="71"/>
      <c r="K472" s="71"/>
    </row>
    <row r="473" spans="2:11" s="4" customFormat="1" ht="12.75">
      <c r="B473" s="68"/>
      <c r="C473" s="68"/>
      <c r="D473" s="68"/>
      <c r="E473" s="68"/>
      <c r="F473" s="68"/>
      <c r="G473" s="68"/>
      <c r="H473" s="68"/>
      <c r="I473" s="622"/>
      <c r="J473" s="71"/>
      <c r="K473" s="71"/>
    </row>
    <row r="474" spans="2:11" s="4" customFormat="1" ht="12.75">
      <c r="B474" s="61"/>
      <c r="C474" s="61"/>
      <c r="D474" s="61"/>
      <c r="E474" s="36"/>
      <c r="F474" s="62"/>
      <c r="G474" s="62"/>
      <c r="H474" s="36"/>
      <c r="I474" s="62"/>
      <c r="J474" s="72"/>
      <c r="K474" s="50"/>
    </row>
    <row r="475" spans="2:11" s="4" customFormat="1" ht="12.75">
      <c r="B475" s="36"/>
      <c r="C475" s="36"/>
      <c r="D475" s="36"/>
      <c r="E475" s="36"/>
      <c r="F475" s="36"/>
      <c r="G475" s="36"/>
      <c r="H475" s="36"/>
      <c r="I475" s="50"/>
      <c r="J475" s="50"/>
      <c r="K475" s="70"/>
    </row>
    <row r="476" spans="2:11" s="4" customFormat="1" ht="12.75">
      <c r="B476" s="36"/>
      <c r="C476" s="36"/>
      <c r="D476" s="36"/>
      <c r="E476" s="36"/>
      <c r="F476" s="36"/>
      <c r="G476" s="36"/>
      <c r="H476" s="36"/>
      <c r="I476" s="70"/>
      <c r="J476" s="50"/>
      <c r="K476" s="50"/>
    </row>
    <row r="477" spans="2:11" s="4" customFormat="1" ht="12.75">
      <c r="B477" s="36"/>
      <c r="C477" s="36"/>
      <c r="D477" s="36"/>
      <c r="E477" s="36"/>
      <c r="F477" s="36"/>
      <c r="G477" s="36"/>
      <c r="H477" s="36"/>
      <c r="I477" s="47"/>
      <c r="J477" s="50"/>
      <c r="K477" s="50"/>
    </row>
    <row r="478" spans="2:11" s="4" customFormat="1" ht="12.75">
      <c r="B478" s="36"/>
      <c r="C478" s="36"/>
      <c r="D478" s="36"/>
      <c r="E478" s="36"/>
      <c r="F478" s="36"/>
      <c r="G478" s="36"/>
      <c r="H478" s="36"/>
      <c r="I478" s="73"/>
      <c r="J478" s="50"/>
      <c r="K478" s="50"/>
    </row>
    <row r="479" spans="2:11" s="4" customFormat="1" ht="12.75">
      <c r="B479" s="36"/>
      <c r="C479" s="36"/>
      <c r="D479" s="36"/>
      <c r="E479" s="36"/>
      <c r="F479" s="36"/>
      <c r="G479" s="36"/>
      <c r="H479" s="50"/>
      <c r="I479" s="36"/>
      <c r="J479" s="36"/>
      <c r="K479" s="36"/>
    </row>
    <row r="480" spans="2:11" s="4" customFormat="1" ht="12.75">
      <c r="B480" s="63"/>
      <c r="C480" s="63"/>
      <c r="D480" s="63"/>
      <c r="E480" s="36"/>
      <c r="F480" s="36"/>
      <c r="G480" s="36"/>
      <c r="H480" s="50"/>
      <c r="I480" s="36"/>
      <c r="J480" s="36"/>
      <c r="K480" s="36"/>
    </row>
    <row r="481" spans="2:11" s="4" customFormat="1" ht="12.75">
      <c r="B481" s="36"/>
      <c r="C481" s="36"/>
      <c r="D481" s="36"/>
      <c r="E481" s="74"/>
      <c r="F481" s="36"/>
      <c r="G481" s="36"/>
      <c r="H481" s="36"/>
      <c r="I481" s="36"/>
      <c r="J481" s="36"/>
      <c r="K481" s="36"/>
    </row>
    <row r="482" spans="2:11" s="4" customFormat="1" ht="12.75">
      <c r="B482" s="619"/>
      <c r="C482" s="128"/>
      <c r="D482" s="127"/>
      <c r="E482" s="75"/>
      <c r="F482" s="75"/>
      <c r="G482" s="619"/>
      <c r="H482" s="619"/>
      <c r="I482" s="619"/>
      <c r="J482" s="619"/>
      <c r="K482" s="619"/>
    </row>
    <row r="483" spans="2:11" s="4" customFormat="1" ht="12.75">
      <c r="B483" s="619"/>
      <c r="C483" s="128"/>
      <c r="D483" s="127"/>
      <c r="E483" s="75"/>
      <c r="F483" s="75"/>
      <c r="G483" s="75"/>
      <c r="H483" s="75"/>
      <c r="I483" s="620"/>
      <c r="J483" s="620"/>
      <c r="K483" s="620"/>
    </row>
    <row r="484" spans="2:11" s="4" customFormat="1" ht="12.75">
      <c r="B484" s="64"/>
      <c r="C484" s="64"/>
      <c r="D484" s="64"/>
      <c r="E484" s="76"/>
      <c r="F484" s="50"/>
      <c r="G484" s="50"/>
      <c r="H484" s="65"/>
      <c r="I484" s="50"/>
      <c r="J484" s="50"/>
      <c r="K484" s="55"/>
    </row>
    <row r="485" spans="2:11" s="4" customFormat="1" ht="12.75">
      <c r="B485" s="64"/>
      <c r="C485" s="64"/>
      <c r="D485" s="64"/>
      <c r="E485" s="76"/>
      <c r="F485" s="50"/>
      <c r="G485" s="50"/>
      <c r="H485" s="65"/>
      <c r="I485" s="50"/>
      <c r="J485" s="54"/>
      <c r="K485" s="55"/>
    </row>
    <row r="486" spans="2:11" s="4" customFormat="1" ht="12.75">
      <c r="B486" s="64"/>
      <c r="C486" s="64"/>
      <c r="D486" s="64"/>
      <c r="E486" s="76"/>
      <c r="F486" s="50"/>
      <c r="G486" s="50"/>
      <c r="H486" s="65"/>
      <c r="I486" s="50"/>
      <c r="J486" s="54"/>
      <c r="K486" s="36"/>
    </row>
    <row r="487" spans="2:11" s="4" customFormat="1" ht="12.75">
      <c r="B487" s="64"/>
      <c r="C487" s="64"/>
      <c r="D487" s="64"/>
      <c r="E487" s="76"/>
      <c r="F487" s="50"/>
      <c r="G487" s="50"/>
      <c r="H487" s="65"/>
      <c r="I487" s="50"/>
      <c r="J487" s="54"/>
      <c r="K487" s="55"/>
    </row>
    <row r="488" spans="2:11" s="4" customFormat="1" ht="12.75">
      <c r="B488" s="64"/>
      <c r="C488" s="64"/>
      <c r="D488" s="64"/>
      <c r="E488" s="77"/>
      <c r="F488" s="50"/>
      <c r="G488" s="50"/>
      <c r="H488" s="65"/>
      <c r="I488" s="50"/>
      <c r="J488" s="54"/>
      <c r="K488" s="55"/>
    </row>
    <row r="489" spans="2:11" s="4" customFormat="1" ht="12.75">
      <c r="B489" s="64"/>
      <c r="C489" s="64"/>
      <c r="D489" s="64"/>
      <c r="E489" s="77"/>
      <c r="F489" s="50"/>
      <c r="G489" s="50"/>
      <c r="H489" s="65"/>
      <c r="I489" s="50"/>
      <c r="J489" s="54"/>
      <c r="K489" s="55"/>
    </row>
    <row r="490" spans="2:11" s="4" customFormat="1" ht="12.75">
      <c r="B490" s="64"/>
      <c r="C490" s="64"/>
      <c r="D490" s="64"/>
      <c r="E490" s="77"/>
      <c r="F490" s="50"/>
      <c r="G490" s="50"/>
      <c r="H490" s="65"/>
      <c r="I490" s="50"/>
      <c r="J490" s="54"/>
      <c r="K490" s="55"/>
    </row>
    <row r="491" spans="2:11" s="4" customFormat="1" ht="12.75">
      <c r="B491" s="64"/>
      <c r="C491" s="64"/>
      <c r="D491" s="64"/>
      <c r="E491" s="77"/>
      <c r="F491" s="50"/>
      <c r="G491" s="50"/>
      <c r="H491" s="65"/>
      <c r="I491" s="50"/>
      <c r="J491" s="54"/>
      <c r="K491" s="55"/>
    </row>
    <row r="492" spans="2:11" s="4" customFormat="1" ht="12.75">
      <c r="B492" s="64"/>
      <c r="C492" s="64"/>
      <c r="D492" s="64"/>
      <c r="E492" s="77"/>
      <c r="F492" s="50"/>
      <c r="G492" s="50"/>
      <c r="H492" s="65"/>
      <c r="I492" s="50"/>
      <c r="J492" s="54"/>
      <c r="K492" s="55"/>
    </row>
    <row r="493" spans="2:11" s="4" customFormat="1" ht="12.75">
      <c r="B493" s="64"/>
      <c r="C493" s="64"/>
      <c r="D493" s="64"/>
      <c r="E493" s="77"/>
      <c r="F493" s="50"/>
      <c r="G493" s="50"/>
      <c r="H493" s="65"/>
      <c r="I493" s="50"/>
      <c r="J493" s="54"/>
      <c r="K493" s="55"/>
    </row>
    <row r="494" spans="2:11" s="4" customFormat="1" ht="12.75">
      <c r="B494" s="64"/>
      <c r="C494" s="64"/>
      <c r="D494" s="64"/>
      <c r="E494" s="77"/>
      <c r="F494" s="50"/>
      <c r="G494" s="50"/>
      <c r="H494" s="65"/>
      <c r="I494" s="50"/>
      <c r="J494" s="54"/>
      <c r="K494" s="55"/>
    </row>
    <row r="495" spans="2:11" s="4" customFormat="1" ht="12.75">
      <c r="B495" s="64"/>
      <c r="C495" s="64"/>
      <c r="D495" s="64"/>
      <c r="E495" s="77"/>
      <c r="F495" s="50"/>
      <c r="G495" s="50"/>
      <c r="H495" s="65"/>
      <c r="I495" s="50"/>
      <c r="J495" s="54"/>
      <c r="K495" s="55"/>
    </row>
    <row r="496" spans="2:11" s="4" customFormat="1" ht="12.75">
      <c r="B496" s="64"/>
      <c r="C496" s="64"/>
      <c r="D496" s="64"/>
      <c r="E496" s="77"/>
      <c r="F496" s="50"/>
      <c r="G496" s="50"/>
      <c r="H496" s="65"/>
      <c r="I496" s="50"/>
      <c r="J496" s="54"/>
      <c r="K496" s="55"/>
    </row>
    <row r="497" spans="2:11" s="4" customFormat="1" ht="12.75">
      <c r="B497" s="64"/>
      <c r="C497" s="64"/>
      <c r="D497" s="64"/>
      <c r="E497" s="77"/>
      <c r="F497" s="50"/>
      <c r="G497" s="50"/>
      <c r="H497" s="65"/>
      <c r="I497" s="50"/>
      <c r="J497" s="54"/>
      <c r="K497" s="55"/>
    </row>
    <row r="498" spans="2:11" s="4" customFormat="1" ht="12.75">
      <c r="B498" s="64"/>
      <c r="C498" s="64"/>
      <c r="D498" s="64"/>
      <c r="E498" s="77"/>
      <c r="F498" s="50"/>
      <c r="G498" s="50"/>
      <c r="H498" s="65"/>
      <c r="I498" s="50"/>
      <c r="J498" s="54"/>
      <c r="K498" s="55"/>
    </row>
    <row r="499" spans="2:11" s="4" customFormat="1" ht="12.75">
      <c r="B499" s="64"/>
      <c r="C499" s="64"/>
      <c r="D499" s="64"/>
      <c r="E499" s="77"/>
      <c r="F499" s="50"/>
      <c r="G499" s="50"/>
      <c r="H499" s="65"/>
      <c r="I499" s="50"/>
      <c r="J499" s="54"/>
      <c r="K499" s="55"/>
    </row>
    <row r="500" spans="2:11" s="4" customFormat="1" ht="12.75">
      <c r="B500" s="64"/>
      <c r="C500" s="64"/>
      <c r="D500" s="64"/>
      <c r="E500" s="77"/>
      <c r="F500" s="50"/>
      <c r="G500" s="50"/>
      <c r="H500" s="65"/>
      <c r="I500" s="50"/>
      <c r="J500" s="54"/>
      <c r="K500" s="55"/>
    </row>
    <row r="501" spans="2:11" s="4" customFormat="1" ht="12.75">
      <c r="B501" s="64"/>
      <c r="C501" s="64"/>
      <c r="D501" s="64"/>
      <c r="E501" s="77"/>
      <c r="F501" s="50"/>
      <c r="G501" s="50"/>
      <c r="H501" s="65"/>
      <c r="I501" s="50"/>
      <c r="J501" s="54"/>
      <c r="K501" s="55"/>
    </row>
    <row r="502" spans="2:11" s="4" customFormat="1" ht="12.75">
      <c r="B502" s="64"/>
      <c r="C502" s="64"/>
      <c r="D502" s="64"/>
      <c r="E502" s="77"/>
      <c r="F502" s="50"/>
      <c r="G502" s="50"/>
      <c r="H502" s="65"/>
      <c r="I502" s="50"/>
      <c r="J502" s="54"/>
      <c r="K502" s="55"/>
    </row>
    <row r="503" spans="2:11" s="4" customFormat="1" ht="12.75">
      <c r="B503" s="64"/>
      <c r="C503" s="64"/>
      <c r="D503" s="64"/>
      <c r="E503" s="77"/>
      <c r="F503" s="50"/>
      <c r="G503" s="50"/>
      <c r="H503" s="65"/>
      <c r="I503" s="50"/>
      <c r="J503" s="54"/>
      <c r="K503" s="55"/>
    </row>
    <row r="504" spans="2:11" s="4" customFormat="1" ht="12.75">
      <c r="B504" s="64"/>
      <c r="C504" s="64"/>
      <c r="D504" s="64"/>
      <c r="E504" s="77"/>
      <c r="F504" s="50"/>
      <c r="G504" s="50"/>
      <c r="H504" s="65"/>
      <c r="I504" s="50"/>
      <c r="J504" s="54"/>
      <c r="K504" s="55"/>
    </row>
    <row r="505" spans="2:11" s="4" customFormat="1" ht="12.75">
      <c r="B505" s="64"/>
      <c r="C505" s="64"/>
      <c r="D505" s="64"/>
      <c r="E505" s="77"/>
      <c r="F505" s="50"/>
      <c r="G505" s="50"/>
      <c r="H505" s="65"/>
      <c r="I505" s="50"/>
      <c r="J505" s="54"/>
      <c r="K505" s="55"/>
    </row>
    <row r="506" spans="2:11" s="4" customFormat="1" ht="12.75">
      <c r="B506" s="64"/>
      <c r="C506" s="64"/>
      <c r="D506" s="64"/>
      <c r="E506" s="77"/>
      <c r="F506" s="50"/>
      <c r="G506" s="50"/>
      <c r="H506" s="65"/>
      <c r="I506" s="50"/>
      <c r="J506" s="54"/>
      <c r="K506" s="55"/>
    </row>
    <row r="507" spans="2:11" s="4" customFormat="1" ht="12.75">
      <c r="B507" s="64"/>
      <c r="C507" s="64"/>
      <c r="D507" s="64"/>
      <c r="E507" s="77"/>
      <c r="F507" s="50"/>
      <c r="G507" s="50"/>
      <c r="H507" s="65"/>
      <c r="I507" s="50"/>
      <c r="J507" s="54"/>
      <c r="K507" s="55"/>
    </row>
    <row r="508" spans="2:11" s="4" customFormat="1" ht="12.75">
      <c r="B508" s="64"/>
      <c r="C508" s="64"/>
      <c r="D508" s="64"/>
      <c r="E508" s="77"/>
      <c r="F508" s="50"/>
      <c r="G508" s="50"/>
      <c r="H508" s="65"/>
      <c r="I508" s="50"/>
      <c r="J508" s="54"/>
      <c r="K508" s="55"/>
    </row>
    <row r="509" spans="2:11" s="4" customFormat="1" ht="20.25">
      <c r="B509" s="66"/>
      <c r="C509" s="66"/>
      <c r="D509" s="66"/>
      <c r="E509" s="67"/>
      <c r="I509" s="57"/>
      <c r="J509" s="57"/>
      <c r="K509" s="57"/>
    </row>
    <row r="510" spans="2:11" s="4" customFormat="1" ht="20.25">
      <c r="B510" s="57"/>
      <c r="C510" s="57"/>
      <c r="D510" s="57"/>
      <c r="E510" s="57"/>
      <c r="F510" s="57"/>
      <c r="G510" s="57"/>
      <c r="H510" s="57"/>
      <c r="I510" s="57"/>
      <c r="J510" s="57"/>
      <c r="K510" s="57"/>
    </row>
    <row r="511" spans="2:11" s="4" customFormat="1" ht="20.25">
      <c r="B511" s="618"/>
      <c r="C511" s="618"/>
      <c r="D511" s="618"/>
      <c r="E511" s="618"/>
      <c r="F511" s="618"/>
      <c r="G511" s="57"/>
      <c r="H511" s="57"/>
      <c r="I511" s="57"/>
      <c r="J511" s="57"/>
      <c r="K511" s="57"/>
    </row>
    <row r="512" spans="2:11" s="4" customFormat="1" ht="12.75">
      <c r="B512" s="68"/>
      <c r="C512" s="68"/>
      <c r="D512" s="68"/>
      <c r="E512" s="68"/>
      <c r="F512" s="68"/>
      <c r="G512" s="68"/>
      <c r="H512" s="68"/>
      <c r="I512" s="69"/>
      <c r="J512" s="69"/>
      <c r="K512" s="615"/>
    </row>
    <row r="513" spans="2:11" s="4" customFormat="1" ht="12.75">
      <c r="B513" s="68"/>
      <c r="C513" s="68"/>
      <c r="D513" s="68"/>
      <c r="E513" s="68"/>
      <c r="F513" s="68"/>
      <c r="G513" s="68"/>
      <c r="H513" s="68"/>
      <c r="I513" s="69"/>
      <c r="J513" s="69"/>
      <c r="K513" s="615"/>
    </row>
    <row r="514" spans="2:11" s="4" customFormat="1" ht="12.75">
      <c r="B514" s="36"/>
      <c r="C514" s="36"/>
      <c r="D514" s="36"/>
      <c r="E514" s="36"/>
      <c r="F514" s="36"/>
      <c r="G514" s="36"/>
      <c r="H514" s="36"/>
      <c r="I514" s="36"/>
      <c r="J514" s="50"/>
      <c r="K514" s="36"/>
    </row>
    <row r="515" spans="2:11" s="4" customFormat="1" ht="12.75">
      <c r="B515" s="36"/>
      <c r="C515" s="36"/>
      <c r="D515" s="36"/>
      <c r="E515" s="36"/>
      <c r="F515" s="36"/>
      <c r="G515" s="36"/>
      <c r="H515" s="36"/>
      <c r="I515" s="58"/>
      <c r="J515" s="70"/>
      <c r="K515" s="50"/>
    </row>
    <row r="516" spans="2:11" s="4" customFormat="1" ht="12.75">
      <c r="B516" s="36"/>
      <c r="C516" s="36"/>
      <c r="D516" s="36"/>
      <c r="E516" s="36"/>
      <c r="F516" s="36"/>
      <c r="G516" s="36"/>
      <c r="H516" s="36"/>
      <c r="I516" s="59"/>
      <c r="J516" s="70"/>
      <c r="K516" s="50"/>
    </row>
    <row r="517" spans="2:11" s="4" customFormat="1" ht="12.75">
      <c r="B517" s="36"/>
      <c r="C517" s="36"/>
      <c r="D517" s="36"/>
      <c r="E517" s="36"/>
      <c r="F517" s="36"/>
      <c r="G517" s="36"/>
      <c r="H517" s="36"/>
      <c r="I517" s="60"/>
      <c r="J517" s="70"/>
      <c r="K517" s="50"/>
    </row>
    <row r="518" spans="2:11" s="4" customFormat="1" ht="12.75">
      <c r="B518" s="36"/>
      <c r="C518" s="36"/>
      <c r="D518" s="36"/>
      <c r="E518" s="36"/>
      <c r="F518" s="36"/>
      <c r="G518" s="36"/>
      <c r="H518" s="36"/>
      <c r="I518" s="60"/>
      <c r="J518" s="70"/>
      <c r="K518" s="50"/>
    </row>
    <row r="519" spans="2:11" s="4" customFormat="1" ht="12.75">
      <c r="B519" s="36"/>
      <c r="C519" s="36"/>
      <c r="D519" s="36"/>
      <c r="E519" s="36"/>
      <c r="F519" s="36"/>
      <c r="G519" s="36"/>
      <c r="H519" s="36"/>
      <c r="I519" s="60"/>
      <c r="J519" s="70"/>
      <c r="K519" s="50"/>
    </row>
    <row r="520" spans="2:11" s="4" customFormat="1" ht="12.75">
      <c r="B520" s="36"/>
      <c r="C520" s="36"/>
      <c r="D520" s="36"/>
      <c r="E520" s="36"/>
      <c r="F520" s="36"/>
      <c r="G520" s="36"/>
      <c r="H520" s="36"/>
      <c r="I520" s="60"/>
      <c r="J520" s="70"/>
      <c r="K520" s="50"/>
    </row>
    <row r="521" spans="2:11" s="4" customFormat="1" ht="12.75">
      <c r="B521" s="36"/>
      <c r="C521" s="36"/>
      <c r="D521" s="36"/>
      <c r="E521" s="36"/>
      <c r="F521" s="36"/>
      <c r="G521" s="36"/>
      <c r="H521" s="36"/>
      <c r="I521" s="36"/>
      <c r="J521" s="36"/>
      <c r="K521" s="36"/>
    </row>
    <row r="522" spans="2:11" s="4" customFormat="1" ht="12.75">
      <c r="B522" s="68"/>
      <c r="C522" s="68"/>
      <c r="D522" s="68"/>
      <c r="E522" s="68"/>
      <c r="F522" s="68"/>
      <c r="G522" s="68"/>
      <c r="H522" s="68"/>
      <c r="I522" s="622"/>
      <c r="J522" s="71"/>
      <c r="K522" s="71"/>
    </row>
    <row r="523" spans="2:11" s="4" customFormat="1" ht="12.75">
      <c r="B523" s="68"/>
      <c r="C523" s="68"/>
      <c r="D523" s="68"/>
      <c r="E523" s="68"/>
      <c r="F523" s="68"/>
      <c r="G523" s="68"/>
      <c r="H523" s="68"/>
      <c r="I523" s="622"/>
      <c r="J523" s="71"/>
      <c r="K523" s="71"/>
    </row>
    <row r="524" spans="2:11" s="4" customFormat="1" ht="12.75">
      <c r="B524" s="61"/>
      <c r="C524" s="61"/>
      <c r="D524" s="61"/>
      <c r="E524" s="36"/>
      <c r="F524" s="62"/>
      <c r="G524" s="62"/>
      <c r="H524" s="36"/>
      <c r="I524" s="62"/>
      <c r="J524" s="72"/>
      <c r="K524" s="50"/>
    </row>
    <row r="525" spans="2:11" s="4" customFormat="1" ht="12.75">
      <c r="B525" s="36"/>
      <c r="C525" s="36"/>
      <c r="D525" s="36"/>
      <c r="E525" s="36"/>
      <c r="F525" s="36"/>
      <c r="G525" s="36"/>
      <c r="H525" s="36"/>
      <c r="I525" s="50"/>
      <c r="J525" s="50"/>
      <c r="K525" s="70"/>
    </row>
    <row r="526" spans="2:11" s="4" customFormat="1" ht="12.75">
      <c r="B526" s="36"/>
      <c r="C526" s="36"/>
      <c r="D526" s="36"/>
      <c r="E526" s="36"/>
      <c r="F526" s="36"/>
      <c r="G526" s="36"/>
      <c r="H526" s="36"/>
      <c r="I526" s="70"/>
      <c r="J526" s="50"/>
      <c r="K526" s="50"/>
    </row>
    <row r="527" spans="2:11" s="4" customFormat="1" ht="12.75">
      <c r="B527" s="36"/>
      <c r="C527" s="36"/>
      <c r="D527" s="36"/>
      <c r="E527" s="36"/>
      <c r="F527" s="36"/>
      <c r="G527" s="36"/>
      <c r="H527" s="36"/>
      <c r="I527" s="47"/>
      <c r="J527" s="50"/>
      <c r="K527" s="50"/>
    </row>
    <row r="528" spans="2:11" s="4" customFormat="1" ht="12.75">
      <c r="B528" s="36"/>
      <c r="C528" s="36"/>
      <c r="D528" s="36"/>
      <c r="E528" s="36"/>
      <c r="F528" s="36"/>
      <c r="G528" s="36"/>
      <c r="H528" s="36"/>
      <c r="I528" s="73"/>
      <c r="J528" s="50"/>
      <c r="K528" s="50"/>
    </row>
    <row r="529" spans="2:11" s="4" customFormat="1" ht="12.75">
      <c r="B529" s="36"/>
      <c r="C529" s="36"/>
      <c r="D529" s="36"/>
      <c r="E529" s="36"/>
      <c r="F529" s="36"/>
      <c r="G529" s="36"/>
      <c r="H529" s="50"/>
      <c r="I529" s="36"/>
      <c r="J529" s="36"/>
      <c r="K529" s="36"/>
    </row>
    <row r="530" spans="2:11" s="4" customFormat="1" ht="12.75">
      <c r="B530" s="63"/>
      <c r="C530" s="63"/>
      <c r="D530" s="63"/>
      <c r="E530" s="36"/>
      <c r="F530" s="36"/>
      <c r="G530" s="36"/>
      <c r="H530" s="50"/>
      <c r="I530" s="36"/>
      <c r="J530" s="36"/>
      <c r="K530" s="36"/>
    </row>
    <row r="531" spans="2:11" s="4" customFormat="1" ht="12.75">
      <c r="B531" s="36"/>
      <c r="C531" s="36"/>
      <c r="D531" s="36"/>
      <c r="E531" s="74"/>
      <c r="F531" s="36"/>
      <c r="G531" s="36"/>
      <c r="H531" s="36"/>
      <c r="I531" s="36"/>
      <c r="J531" s="36"/>
      <c r="K531" s="36"/>
    </row>
    <row r="532" spans="2:11" s="4" customFormat="1" ht="12.75">
      <c r="B532" s="619"/>
      <c r="C532" s="128"/>
      <c r="D532" s="127"/>
      <c r="E532" s="75"/>
      <c r="F532" s="75"/>
      <c r="G532" s="619"/>
      <c r="H532" s="619"/>
      <c r="I532" s="619"/>
      <c r="J532" s="619"/>
      <c r="K532" s="619"/>
    </row>
    <row r="533" spans="2:11" s="4" customFormat="1" ht="12.75">
      <c r="B533" s="619"/>
      <c r="C533" s="128"/>
      <c r="D533" s="127"/>
      <c r="E533" s="75"/>
      <c r="F533" s="75"/>
      <c r="G533" s="75"/>
      <c r="H533" s="75"/>
      <c r="I533" s="620"/>
      <c r="J533" s="620"/>
      <c r="K533" s="620"/>
    </row>
    <row r="534" spans="2:11" s="4" customFormat="1" ht="12.75">
      <c r="B534" s="64"/>
      <c r="C534" s="64"/>
      <c r="D534" s="64"/>
      <c r="E534" s="76"/>
      <c r="F534" s="50"/>
      <c r="G534" s="50"/>
      <c r="H534" s="65"/>
      <c r="I534" s="50"/>
      <c r="J534" s="50"/>
      <c r="K534" s="55"/>
    </row>
    <row r="535" spans="2:11" s="4" customFormat="1" ht="12.75">
      <c r="B535" s="64"/>
      <c r="C535" s="64"/>
      <c r="D535" s="64"/>
      <c r="E535" s="76"/>
      <c r="F535" s="50"/>
      <c r="G535" s="50"/>
      <c r="H535" s="65"/>
      <c r="I535" s="50"/>
      <c r="J535" s="54"/>
      <c r="K535" s="55"/>
    </row>
    <row r="536" spans="2:11" s="4" customFormat="1" ht="12.75">
      <c r="B536" s="64"/>
      <c r="C536" s="64"/>
      <c r="D536" s="64"/>
      <c r="E536" s="76"/>
      <c r="F536" s="50"/>
      <c r="G536" s="50"/>
      <c r="H536" s="65"/>
      <c r="I536" s="50"/>
      <c r="J536" s="54"/>
      <c r="K536" s="36"/>
    </row>
    <row r="537" spans="2:11" s="4" customFormat="1" ht="12.75">
      <c r="B537" s="64"/>
      <c r="C537" s="64"/>
      <c r="D537" s="64"/>
      <c r="E537" s="76"/>
      <c r="F537" s="50"/>
      <c r="G537" s="50"/>
      <c r="H537" s="65"/>
      <c r="I537" s="50"/>
      <c r="J537" s="54"/>
      <c r="K537" s="55"/>
    </row>
    <row r="538" spans="2:11" s="4" customFormat="1" ht="12.75">
      <c r="B538" s="64"/>
      <c r="C538" s="64"/>
      <c r="D538" s="64"/>
      <c r="E538" s="77"/>
      <c r="F538" s="50"/>
      <c r="G538" s="50"/>
      <c r="H538" s="65"/>
      <c r="I538" s="50"/>
      <c r="J538" s="54"/>
      <c r="K538" s="55"/>
    </row>
    <row r="539" spans="2:11" s="4" customFormat="1" ht="12.75">
      <c r="B539" s="64"/>
      <c r="C539" s="64"/>
      <c r="D539" s="64"/>
      <c r="E539" s="77"/>
      <c r="F539" s="50"/>
      <c r="G539" s="50"/>
      <c r="H539" s="65"/>
      <c r="I539" s="50"/>
      <c r="J539" s="54"/>
      <c r="K539" s="55"/>
    </row>
    <row r="540" spans="2:11" s="4" customFormat="1" ht="12.75">
      <c r="B540" s="64"/>
      <c r="C540" s="64"/>
      <c r="D540" s="64"/>
      <c r="E540" s="77"/>
      <c r="F540" s="50"/>
      <c r="G540" s="50"/>
      <c r="H540" s="65"/>
      <c r="I540" s="50"/>
      <c r="J540" s="54"/>
      <c r="K540" s="55"/>
    </row>
    <row r="541" spans="2:11" s="4" customFormat="1" ht="12.75">
      <c r="B541" s="64"/>
      <c r="C541" s="64"/>
      <c r="D541" s="64"/>
      <c r="E541" s="77"/>
      <c r="F541" s="50"/>
      <c r="G541" s="50"/>
      <c r="H541" s="65"/>
      <c r="I541" s="50"/>
      <c r="J541" s="54"/>
      <c r="K541" s="55"/>
    </row>
    <row r="542" spans="2:11" s="4" customFormat="1" ht="12.75">
      <c r="B542" s="64"/>
      <c r="C542" s="64"/>
      <c r="D542" s="64"/>
      <c r="E542" s="77"/>
      <c r="F542" s="50"/>
      <c r="G542" s="50"/>
      <c r="H542" s="65"/>
      <c r="I542" s="50"/>
      <c r="J542" s="54"/>
      <c r="K542" s="55"/>
    </row>
    <row r="543" spans="2:11" s="4" customFormat="1" ht="12.75">
      <c r="B543" s="64"/>
      <c r="C543" s="64"/>
      <c r="D543" s="64"/>
      <c r="E543" s="77"/>
      <c r="F543" s="50"/>
      <c r="G543" s="50"/>
      <c r="H543" s="65"/>
      <c r="I543" s="50"/>
      <c r="J543" s="54"/>
      <c r="K543" s="55"/>
    </row>
    <row r="544" spans="2:11" s="4" customFormat="1" ht="12.75">
      <c r="B544" s="64"/>
      <c r="C544" s="64"/>
      <c r="D544" s="64"/>
      <c r="E544" s="77"/>
      <c r="F544" s="50"/>
      <c r="G544" s="50"/>
      <c r="H544" s="65"/>
      <c r="I544" s="50"/>
      <c r="J544" s="54"/>
      <c r="K544" s="55"/>
    </row>
    <row r="545" spans="2:11" s="4" customFormat="1" ht="12.75">
      <c r="B545" s="64"/>
      <c r="C545" s="64"/>
      <c r="D545" s="64"/>
      <c r="E545" s="77"/>
      <c r="F545" s="50"/>
      <c r="G545" s="50"/>
      <c r="H545" s="65"/>
      <c r="I545" s="50"/>
      <c r="J545" s="54"/>
      <c r="K545" s="55"/>
    </row>
    <row r="546" spans="2:11" s="4" customFormat="1" ht="12.75">
      <c r="B546" s="64"/>
      <c r="C546" s="64"/>
      <c r="D546" s="64"/>
      <c r="E546" s="77"/>
      <c r="F546" s="50"/>
      <c r="G546" s="50"/>
      <c r="H546" s="65"/>
      <c r="I546" s="50"/>
      <c r="J546" s="54"/>
      <c r="K546" s="55"/>
    </row>
    <row r="547" spans="2:11" s="4" customFormat="1" ht="12.75">
      <c r="B547" s="64"/>
      <c r="C547" s="64"/>
      <c r="D547" s="64"/>
      <c r="E547" s="77"/>
      <c r="F547" s="50"/>
      <c r="G547" s="50"/>
      <c r="H547" s="65"/>
      <c r="I547" s="50"/>
      <c r="J547" s="54"/>
      <c r="K547" s="55"/>
    </row>
    <row r="548" spans="2:11" s="4" customFormat="1" ht="12.75">
      <c r="B548" s="64"/>
      <c r="C548" s="64"/>
      <c r="D548" s="64"/>
      <c r="E548" s="77"/>
      <c r="F548" s="50"/>
      <c r="G548" s="50"/>
      <c r="H548" s="65"/>
      <c r="I548" s="50"/>
      <c r="J548" s="54"/>
      <c r="K548" s="55"/>
    </row>
    <row r="549" spans="2:11" s="4" customFormat="1" ht="12.75">
      <c r="B549" s="64"/>
      <c r="C549" s="64"/>
      <c r="D549" s="64"/>
      <c r="E549" s="77"/>
      <c r="F549" s="50"/>
      <c r="G549" s="50"/>
      <c r="H549" s="65"/>
      <c r="I549" s="50"/>
      <c r="J549" s="54"/>
      <c r="K549" s="55"/>
    </row>
    <row r="550" spans="2:11" s="4" customFormat="1" ht="12.75">
      <c r="B550" s="64"/>
      <c r="C550" s="64"/>
      <c r="D550" s="64"/>
      <c r="E550" s="77"/>
      <c r="F550" s="50"/>
      <c r="G550" s="50"/>
      <c r="H550" s="65"/>
      <c r="I550" s="50"/>
      <c r="J550" s="54"/>
      <c r="K550" s="55"/>
    </row>
    <row r="551" spans="2:11" s="4" customFormat="1" ht="12.75">
      <c r="B551" s="64"/>
      <c r="C551" s="64"/>
      <c r="D551" s="64"/>
      <c r="E551" s="77"/>
      <c r="F551" s="50"/>
      <c r="G551" s="50"/>
      <c r="H551" s="65"/>
      <c r="I551" s="50"/>
      <c r="J551" s="54"/>
      <c r="K551" s="55"/>
    </row>
    <row r="552" spans="2:11" s="4" customFormat="1" ht="12.75">
      <c r="B552" s="64"/>
      <c r="C552" s="64"/>
      <c r="D552" s="64"/>
      <c r="E552" s="77"/>
      <c r="F552" s="50"/>
      <c r="G552" s="50"/>
      <c r="H552" s="65"/>
      <c r="I552" s="50"/>
      <c r="J552" s="54"/>
      <c r="K552" s="55"/>
    </row>
    <row r="553" spans="2:11" s="4" customFormat="1" ht="12.75">
      <c r="B553" s="64"/>
      <c r="C553" s="64"/>
      <c r="D553" s="64"/>
      <c r="E553" s="77"/>
      <c r="F553" s="50"/>
      <c r="G553" s="50"/>
      <c r="H553" s="65"/>
      <c r="I553" s="50"/>
      <c r="J553" s="54"/>
      <c r="K553" s="55"/>
    </row>
    <row r="554" spans="2:11" s="4" customFormat="1" ht="12.75">
      <c r="B554" s="64"/>
      <c r="C554" s="64"/>
      <c r="D554" s="64"/>
      <c r="E554" s="77"/>
      <c r="F554" s="50"/>
      <c r="G554" s="50"/>
      <c r="H554" s="65"/>
      <c r="I554" s="50"/>
      <c r="J554" s="54"/>
      <c r="K554" s="55"/>
    </row>
    <row r="555" spans="2:11" s="4" customFormat="1" ht="12.75">
      <c r="B555" s="64"/>
      <c r="C555" s="64"/>
      <c r="D555" s="64"/>
      <c r="E555" s="77"/>
      <c r="F555" s="50"/>
      <c r="G555" s="50"/>
      <c r="H555" s="65"/>
      <c r="I555" s="50"/>
      <c r="J555" s="54"/>
      <c r="K555" s="55"/>
    </row>
    <row r="556" spans="2:11" s="4" customFormat="1" ht="12.75">
      <c r="B556" s="64"/>
      <c r="C556" s="64"/>
      <c r="D556" s="64"/>
      <c r="E556" s="77"/>
      <c r="F556" s="50"/>
      <c r="G556" s="50"/>
      <c r="H556" s="65"/>
      <c r="I556" s="50"/>
      <c r="J556" s="54"/>
      <c r="K556" s="55"/>
    </row>
    <row r="557" spans="2:11" s="4" customFormat="1" ht="12.75">
      <c r="B557" s="64"/>
      <c r="C557" s="64"/>
      <c r="D557" s="64"/>
      <c r="E557" s="77"/>
      <c r="F557" s="50"/>
      <c r="G557" s="50"/>
      <c r="H557" s="65"/>
      <c r="I557" s="50"/>
      <c r="J557" s="54"/>
      <c r="K557" s="55"/>
    </row>
    <row r="558" spans="2:11" s="4" customFormat="1" ht="12.75">
      <c r="B558" s="64"/>
      <c r="C558" s="64"/>
      <c r="D558" s="64"/>
      <c r="E558" s="77"/>
      <c r="F558" s="50"/>
      <c r="G558" s="50"/>
      <c r="H558" s="65"/>
      <c r="I558" s="50"/>
      <c r="J558" s="54"/>
      <c r="K558" s="55"/>
    </row>
    <row r="559" spans="2:11" s="4" customFormat="1"/>
    <row r="560" spans="2:11" s="4" customFormat="1" ht="20.25">
      <c r="B560" s="66"/>
      <c r="C560" s="66"/>
      <c r="D560" s="66"/>
      <c r="E560" s="67"/>
      <c r="I560" s="57"/>
      <c r="J560" s="57"/>
      <c r="K560" s="57"/>
    </row>
    <row r="561" spans="2:11" s="4" customFormat="1" ht="20.25">
      <c r="B561" s="57"/>
      <c r="C561" s="57"/>
      <c r="D561" s="57"/>
      <c r="E561" s="57"/>
      <c r="F561" s="57"/>
      <c r="G561" s="57"/>
      <c r="H561" s="57"/>
      <c r="I561" s="57"/>
      <c r="J561" s="57"/>
      <c r="K561" s="57"/>
    </row>
    <row r="562" spans="2:11" s="4" customFormat="1" ht="20.25">
      <c r="B562" s="618"/>
      <c r="C562" s="618"/>
      <c r="D562" s="618"/>
      <c r="E562" s="618"/>
      <c r="F562" s="618"/>
      <c r="G562" s="57"/>
      <c r="H562" s="57"/>
      <c r="I562" s="57"/>
      <c r="J562" s="57"/>
      <c r="K562" s="57"/>
    </row>
    <row r="563" spans="2:11" s="4" customFormat="1" ht="12.75">
      <c r="B563" s="68"/>
      <c r="C563" s="68"/>
      <c r="D563" s="68"/>
      <c r="E563" s="68"/>
      <c r="F563" s="68"/>
      <c r="G563" s="68"/>
      <c r="H563" s="68"/>
      <c r="I563" s="69"/>
      <c r="J563" s="69"/>
      <c r="K563" s="615"/>
    </row>
    <row r="564" spans="2:11" s="4" customFormat="1" ht="12.75">
      <c r="B564" s="68"/>
      <c r="C564" s="68"/>
      <c r="D564" s="68"/>
      <c r="E564" s="68"/>
      <c r="F564" s="68"/>
      <c r="G564" s="68"/>
      <c r="H564" s="68"/>
      <c r="I564" s="69"/>
      <c r="J564" s="69"/>
      <c r="K564" s="615"/>
    </row>
    <row r="565" spans="2:11" s="4" customFormat="1" ht="12.75">
      <c r="B565" s="36"/>
      <c r="C565" s="36"/>
      <c r="D565" s="36"/>
      <c r="E565" s="36"/>
      <c r="F565" s="36"/>
      <c r="G565" s="36"/>
      <c r="H565" s="36"/>
      <c r="I565" s="36"/>
      <c r="J565" s="50"/>
      <c r="K565" s="36"/>
    </row>
    <row r="566" spans="2:11" s="4" customFormat="1" ht="12.75">
      <c r="B566" s="36"/>
      <c r="C566" s="36"/>
      <c r="D566" s="36"/>
      <c r="E566" s="36"/>
      <c r="F566" s="36"/>
      <c r="G566" s="36"/>
      <c r="H566" s="36"/>
      <c r="I566" s="58"/>
      <c r="J566" s="70"/>
      <c r="K566" s="50"/>
    </row>
    <row r="567" spans="2:11" s="4" customFormat="1" ht="12.75">
      <c r="B567" s="36"/>
      <c r="C567" s="36"/>
      <c r="D567" s="36"/>
      <c r="E567" s="36"/>
      <c r="F567" s="36"/>
      <c r="G567" s="36"/>
      <c r="H567" s="36"/>
      <c r="I567" s="59"/>
      <c r="J567" s="70"/>
      <c r="K567" s="50"/>
    </row>
    <row r="568" spans="2:11" s="4" customFormat="1" ht="12.75">
      <c r="B568" s="36"/>
      <c r="C568" s="36"/>
      <c r="D568" s="36"/>
      <c r="E568" s="36"/>
      <c r="F568" s="36"/>
      <c r="G568" s="36"/>
      <c r="H568" s="36"/>
      <c r="I568" s="60"/>
      <c r="J568" s="70"/>
      <c r="K568" s="50"/>
    </row>
    <row r="569" spans="2:11" s="4" customFormat="1" ht="12.75">
      <c r="B569" s="36"/>
      <c r="C569" s="36"/>
      <c r="D569" s="36"/>
      <c r="E569" s="36"/>
      <c r="F569" s="36"/>
      <c r="G569" s="36"/>
      <c r="H569" s="36"/>
      <c r="I569" s="60"/>
      <c r="J569" s="70"/>
      <c r="K569" s="50"/>
    </row>
    <row r="570" spans="2:11" s="4" customFormat="1" ht="12.75">
      <c r="B570" s="36"/>
      <c r="C570" s="36"/>
      <c r="D570" s="36"/>
      <c r="E570" s="36"/>
      <c r="F570" s="36"/>
      <c r="G570" s="36"/>
      <c r="H570" s="36"/>
      <c r="I570" s="60"/>
      <c r="J570" s="70"/>
      <c r="K570" s="50"/>
    </row>
    <row r="571" spans="2:11" s="4" customFormat="1" ht="12.75">
      <c r="B571" s="36"/>
      <c r="C571" s="36"/>
      <c r="D571" s="36"/>
      <c r="E571" s="36"/>
      <c r="F571" s="36"/>
      <c r="G571" s="36"/>
      <c r="H571" s="36"/>
      <c r="I571" s="60"/>
      <c r="J571" s="70"/>
      <c r="K571" s="50"/>
    </row>
    <row r="572" spans="2:11" s="4" customFormat="1" ht="12.75">
      <c r="B572" s="36"/>
      <c r="C572" s="36"/>
      <c r="D572" s="36"/>
      <c r="E572" s="36"/>
      <c r="F572" s="36"/>
      <c r="G572" s="36"/>
      <c r="H572" s="36"/>
      <c r="I572" s="36"/>
      <c r="J572" s="36"/>
      <c r="K572" s="36"/>
    </row>
    <row r="573" spans="2:11" s="4" customFormat="1" ht="12.75">
      <c r="B573" s="68"/>
      <c r="C573" s="68"/>
      <c r="D573" s="68"/>
      <c r="E573" s="68"/>
      <c r="F573" s="68"/>
      <c r="G573" s="68"/>
      <c r="H573" s="68"/>
      <c r="I573" s="622"/>
      <c r="J573" s="71"/>
      <c r="K573" s="71"/>
    </row>
    <row r="574" spans="2:11" s="4" customFormat="1" ht="12.75">
      <c r="B574" s="68"/>
      <c r="C574" s="68"/>
      <c r="D574" s="68"/>
      <c r="E574" s="68"/>
      <c r="F574" s="68"/>
      <c r="G574" s="68"/>
      <c r="H574" s="68"/>
      <c r="I574" s="622"/>
      <c r="J574" s="71"/>
      <c r="K574" s="71"/>
    </row>
    <row r="575" spans="2:11" s="4" customFormat="1" ht="12.75">
      <c r="B575" s="61"/>
      <c r="C575" s="61"/>
      <c r="D575" s="61"/>
      <c r="E575" s="36"/>
      <c r="F575" s="62"/>
      <c r="G575" s="62"/>
      <c r="H575" s="36"/>
      <c r="I575" s="62"/>
      <c r="J575" s="72"/>
      <c r="K575" s="50"/>
    </row>
    <row r="576" spans="2:11" s="4" customFormat="1" ht="12.75">
      <c r="B576" s="36"/>
      <c r="C576" s="36"/>
      <c r="D576" s="36"/>
      <c r="E576" s="36"/>
      <c r="F576" s="36"/>
      <c r="G576" s="36"/>
      <c r="H576" s="36"/>
      <c r="I576" s="50"/>
      <c r="J576" s="50"/>
      <c r="K576" s="70"/>
    </row>
    <row r="577" spans="2:11" s="4" customFormat="1" ht="12.75">
      <c r="B577" s="36"/>
      <c r="C577" s="36"/>
      <c r="D577" s="36"/>
      <c r="E577" s="36"/>
      <c r="F577" s="36"/>
      <c r="G577" s="36"/>
      <c r="H577" s="36"/>
      <c r="I577" s="70"/>
      <c r="J577" s="50"/>
      <c r="K577" s="50"/>
    </row>
    <row r="578" spans="2:11" s="4" customFormat="1" ht="12.75">
      <c r="B578" s="36"/>
      <c r="C578" s="36"/>
      <c r="D578" s="36"/>
      <c r="E578" s="36"/>
      <c r="F578" s="36"/>
      <c r="G578" s="36"/>
      <c r="H578" s="36"/>
      <c r="I578" s="47"/>
      <c r="J578" s="50"/>
      <c r="K578" s="50"/>
    </row>
    <row r="579" spans="2:11" s="4" customFormat="1" ht="12.75">
      <c r="B579" s="36"/>
      <c r="C579" s="36"/>
      <c r="D579" s="36"/>
      <c r="E579" s="36"/>
      <c r="F579" s="36"/>
      <c r="G579" s="36"/>
      <c r="H579" s="36"/>
      <c r="I579" s="73"/>
      <c r="J579" s="50"/>
      <c r="K579" s="50"/>
    </row>
    <row r="580" spans="2:11" s="4" customFormat="1" ht="12.75">
      <c r="B580" s="36"/>
      <c r="C580" s="36"/>
      <c r="D580" s="36"/>
      <c r="E580" s="36"/>
      <c r="F580" s="36"/>
      <c r="G580" s="36"/>
      <c r="H580" s="50"/>
      <c r="I580" s="36"/>
      <c r="J580" s="36"/>
      <c r="K580" s="36"/>
    </row>
    <row r="581" spans="2:11" s="4" customFormat="1" ht="12.75">
      <c r="B581" s="63"/>
      <c r="C581" s="63"/>
      <c r="D581" s="63"/>
      <c r="E581" s="36"/>
      <c r="F581" s="36"/>
      <c r="G581" s="36"/>
      <c r="H581" s="50"/>
      <c r="I581" s="36"/>
      <c r="J581" s="36"/>
      <c r="K581" s="36"/>
    </row>
    <row r="582" spans="2:11" s="4" customFormat="1" ht="12.75">
      <c r="B582" s="36"/>
      <c r="C582" s="36"/>
      <c r="D582" s="36"/>
      <c r="E582" s="74"/>
      <c r="F582" s="36"/>
      <c r="G582" s="36"/>
      <c r="H582" s="36"/>
      <c r="I582" s="36"/>
      <c r="J582" s="36"/>
      <c r="K582" s="36"/>
    </row>
    <row r="583" spans="2:11" s="4" customFormat="1" ht="12.75">
      <c r="B583" s="619"/>
      <c r="C583" s="128"/>
      <c r="D583" s="127"/>
      <c r="E583" s="75"/>
      <c r="F583" s="75"/>
      <c r="G583" s="619"/>
      <c r="H583" s="619"/>
      <c r="I583" s="619"/>
      <c r="J583" s="619"/>
      <c r="K583" s="619"/>
    </row>
    <row r="584" spans="2:11" s="4" customFormat="1" ht="12.75">
      <c r="B584" s="619"/>
      <c r="C584" s="128"/>
      <c r="D584" s="127"/>
      <c r="E584" s="75"/>
      <c r="F584" s="75"/>
      <c r="G584" s="75"/>
      <c r="H584" s="75"/>
      <c r="I584" s="620"/>
      <c r="J584" s="620"/>
      <c r="K584" s="620"/>
    </row>
    <row r="585" spans="2:11" s="4" customFormat="1" ht="12.75">
      <c r="B585" s="64"/>
      <c r="C585" s="64"/>
      <c r="D585" s="64"/>
      <c r="E585" s="76"/>
      <c r="F585" s="50"/>
      <c r="G585" s="50"/>
      <c r="H585" s="65"/>
      <c r="I585" s="50"/>
      <c r="J585" s="50"/>
      <c r="K585" s="55"/>
    </row>
    <row r="586" spans="2:11" s="4" customFormat="1" ht="12.75">
      <c r="B586" s="64"/>
      <c r="C586" s="64"/>
      <c r="D586" s="64"/>
      <c r="E586" s="76"/>
      <c r="F586" s="50"/>
      <c r="G586" s="50"/>
      <c r="H586" s="65"/>
      <c r="I586" s="50"/>
      <c r="J586" s="54"/>
      <c r="K586" s="55"/>
    </row>
    <row r="587" spans="2:11" s="4" customFormat="1" ht="12.75">
      <c r="B587" s="64"/>
      <c r="C587" s="64"/>
      <c r="D587" s="64"/>
      <c r="E587" s="76"/>
      <c r="F587" s="50"/>
      <c r="G587" s="50"/>
      <c r="H587" s="65"/>
      <c r="I587" s="50"/>
      <c r="J587" s="54"/>
      <c r="K587" s="36"/>
    </row>
    <row r="588" spans="2:11" s="4" customFormat="1" ht="12.75">
      <c r="B588" s="64"/>
      <c r="C588" s="64"/>
      <c r="D588" s="64"/>
      <c r="E588" s="76"/>
      <c r="F588" s="50"/>
      <c r="G588" s="50"/>
      <c r="H588" s="65"/>
      <c r="I588" s="50"/>
      <c r="J588" s="54"/>
      <c r="K588" s="55"/>
    </row>
    <row r="589" spans="2:11" s="4" customFormat="1" ht="12.75">
      <c r="B589" s="64"/>
      <c r="C589" s="64"/>
      <c r="D589" s="64"/>
      <c r="E589" s="77"/>
      <c r="F589" s="50"/>
      <c r="G589" s="50"/>
      <c r="H589" s="65"/>
      <c r="I589" s="50"/>
      <c r="J589" s="54"/>
      <c r="K589" s="55"/>
    </row>
    <row r="590" spans="2:11" s="4" customFormat="1" ht="12.75">
      <c r="B590" s="64"/>
      <c r="C590" s="64"/>
      <c r="D590" s="64"/>
      <c r="E590" s="77"/>
      <c r="F590" s="50"/>
      <c r="G590" s="50"/>
      <c r="H590" s="65"/>
      <c r="I590" s="50"/>
      <c r="J590" s="54"/>
      <c r="K590" s="55"/>
    </row>
    <row r="591" spans="2:11" s="4" customFormat="1" ht="12.75">
      <c r="B591" s="64"/>
      <c r="C591" s="64"/>
      <c r="D591" s="64"/>
      <c r="E591" s="77"/>
      <c r="F591" s="50"/>
      <c r="G591" s="50"/>
      <c r="H591" s="65"/>
      <c r="I591" s="50"/>
      <c r="J591" s="54"/>
      <c r="K591" s="55"/>
    </row>
    <row r="592" spans="2:11" s="4" customFormat="1" ht="12.75">
      <c r="B592" s="64"/>
      <c r="C592" s="64"/>
      <c r="D592" s="64"/>
      <c r="E592" s="77"/>
      <c r="F592" s="50"/>
      <c r="G592" s="50"/>
      <c r="H592" s="65"/>
      <c r="I592" s="50"/>
      <c r="J592" s="54"/>
      <c r="K592" s="55"/>
    </row>
    <row r="593" spans="2:11" s="4" customFormat="1" ht="12.75">
      <c r="B593" s="64"/>
      <c r="C593" s="64"/>
      <c r="D593" s="64"/>
      <c r="E593" s="77"/>
      <c r="F593" s="50"/>
      <c r="G593" s="50"/>
      <c r="H593" s="65"/>
      <c r="I593" s="50"/>
      <c r="J593" s="54"/>
      <c r="K593" s="55"/>
    </row>
    <row r="594" spans="2:11" s="4" customFormat="1" ht="12.75">
      <c r="B594" s="64"/>
      <c r="C594" s="64"/>
      <c r="D594" s="64"/>
      <c r="E594" s="77"/>
      <c r="F594" s="50"/>
      <c r="G594" s="50"/>
      <c r="H594" s="65"/>
      <c r="I594" s="50"/>
      <c r="J594" s="54"/>
      <c r="K594" s="55"/>
    </row>
    <row r="595" spans="2:11" s="4" customFormat="1" ht="12.75">
      <c r="B595" s="64"/>
      <c r="C595" s="64"/>
      <c r="D595" s="64"/>
      <c r="E595" s="77"/>
      <c r="F595" s="50"/>
      <c r="G595" s="50"/>
      <c r="H595" s="65"/>
      <c r="I595" s="50"/>
      <c r="J595" s="54"/>
      <c r="K595" s="55"/>
    </row>
    <row r="596" spans="2:11" s="4" customFormat="1" ht="12.75">
      <c r="B596" s="64"/>
      <c r="C596" s="64"/>
      <c r="D596" s="64"/>
      <c r="E596" s="77"/>
      <c r="F596" s="50"/>
      <c r="G596" s="50"/>
      <c r="H596" s="65"/>
      <c r="I596" s="50"/>
      <c r="J596" s="54"/>
      <c r="K596" s="55"/>
    </row>
    <row r="597" spans="2:11" s="4" customFormat="1" ht="12.75">
      <c r="B597" s="64"/>
      <c r="C597" s="64"/>
      <c r="D597" s="64"/>
      <c r="E597" s="77"/>
      <c r="F597" s="50"/>
      <c r="G597" s="50"/>
      <c r="H597" s="65"/>
      <c r="I597" s="50"/>
      <c r="J597" s="54"/>
      <c r="K597" s="55"/>
    </row>
    <row r="598" spans="2:11" s="4" customFormat="1" ht="12.75">
      <c r="B598" s="64"/>
      <c r="C598" s="64"/>
      <c r="D598" s="64"/>
      <c r="E598" s="77"/>
      <c r="F598" s="50"/>
      <c r="G598" s="50"/>
      <c r="H598" s="65"/>
      <c r="I598" s="50"/>
      <c r="J598" s="54"/>
      <c r="K598" s="55"/>
    </row>
    <row r="599" spans="2:11" s="4" customFormat="1" ht="12.75">
      <c r="B599" s="64"/>
      <c r="C599" s="64"/>
      <c r="D599" s="64"/>
      <c r="E599" s="77"/>
      <c r="F599" s="50"/>
      <c r="G599" s="50"/>
      <c r="H599" s="65"/>
      <c r="I599" s="50"/>
      <c r="J599" s="54"/>
      <c r="K599" s="55"/>
    </row>
    <row r="600" spans="2:11" s="4" customFormat="1" ht="12.75">
      <c r="B600" s="64"/>
      <c r="C600" s="64"/>
      <c r="D600" s="64"/>
      <c r="E600" s="77"/>
      <c r="F600" s="50"/>
      <c r="G600" s="50"/>
      <c r="H600" s="65"/>
      <c r="I600" s="50"/>
      <c r="J600" s="54"/>
      <c r="K600" s="55"/>
    </row>
    <row r="601" spans="2:11" s="4" customFormat="1" ht="12.75">
      <c r="B601" s="64"/>
      <c r="C601" s="64"/>
      <c r="D601" s="64"/>
      <c r="E601" s="77"/>
      <c r="F601" s="50"/>
      <c r="G601" s="50"/>
      <c r="H601" s="65"/>
      <c r="I601" s="50"/>
      <c r="J601" s="54"/>
      <c r="K601" s="55"/>
    </row>
    <row r="602" spans="2:11" s="4" customFormat="1" ht="12.75">
      <c r="B602" s="64"/>
      <c r="C602" s="64"/>
      <c r="D602" s="64"/>
      <c r="E602" s="77"/>
      <c r="F602" s="50"/>
      <c r="G602" s="50"/>
      <c r="H602" s="65"/>
      <c r="I602" s="50"/>
      <c r="J602" s="54"/>
      <c r="K602" s="55"/>
    </row>
    <row r="603" spans="2:11" s="4" customFormat="1" ht="12.75">
      <c r="B603" s="64"/>
      <c r="C603" s="64"/>
      <c r="D603" s="64"/>
      <c r="E603" s="77"/>
      <c r="F603" s="50"/>
      <c r="G603" s="50"/>
      <c r="H603" s="65"/>
      <c r="I603" s="50"/>
      <c r="J603" s="54"/>
      <c r="K603" s="55"/>
    </row>
    <row r="604" spans="2:11" s="4" customFormat="1" ht="12.75">
      <c r="B604" s="64"/>
      <c r="C604" s="64"/>
      <c r="D604" s="64"/>
      <c r="E604" s="77"/>
      <c r="F604" s="50"/>
      <c r="G604" s="50"/>
      <c r="H604" s="65"/>
      <c r="I604" s="50"/>
      <c r="J604" s="54"/>
      <c r="K604" s="55"/>
    </row>
    <row r="605" spans="2:11" s="4" customFormat="1" ht="12.75">
      <c r="B605" s="64"/>
      <c r="C605" s="64"/>
      <c r="D605" s="64"/>
      <c r="E605" s="77"/>
      <c r="F605" s="50"/>
      <c r="G605" s="50"/>
      <c r="H605" s="65"/>
      <c r="I605" s="50"/>
      <c r="J605" s="54"/>
      <c r="K605" s="55"/>
    </row>
    <row r="606" spans="2:11" s="4" customFormat="1" ht="12.75">
      <c r="B606" s="64"/>
      <c r="C606" s="64"/>
      <c r="D606" s="64"/>
      <c r="E606" s="77"/>
      <c r="F606" s="50"/>
      <c r="G606" s="50"/>
      <c r="H606" s="65"/>
      <c r="I606" s="50"/>
      <c r="J606" s="54"/>
      <c r="K606" s="55"/>
    </row>
    <row r="607" spans="2:11" s="4" customFormat="1" ht="12.75">
      <c r="B607" s="64"/>
      <c r="C607" s="64"/>
      <c r="D607" s="64"/>
      <c r="E607" s="77"/>
      <c r="F607" s="50"/>
      <c r="G607" s="50"/>
      <c r="H607" s="65"/>
      <c r="I607" s="50"/>
      <c r="J607" s="54"/>
      <c r="K607" s="55"/>
    </row>
    <row r="608" spans="2:11" s="4" customFormat="1" ht="12.75">
      <c r="B608" s="64"/>
      <c r="C608" s="64"/>
      <c r="D608" s="64"/>
      <c r="E608" s="77"/>
      <c r="F608" s="50"/>
      <c r="G608" s="50"/>
      <c r="H608" s="65"/>
      <c r="I608" s="50"/>
      <c r="J608" s="54"/>
      <c r="K608" s="55"/>
    </row>
    <row r="609" spans="2:11" s="4" customFormat="1" ht="12.75">
      <c r="B609" s="64"/>
      <c r="C609" s="64"/>
      <c r="D609" s="64"/>
      <c r="E609" s="77"/>
      <c r="F609" s="50"/>
      <c r="G609" s="50"/>
      <c r="H609" s="65"/>
      <c r="I609" s="50"/>
      <c r="J609" s="54"/>
      <c r="K609" s="55"/>
    </row>
    <row r="610" spans="2:11" s="4" customFormat="1"/>
    <row r="611" spans="2:11" s="4" customFormat="1" ht="20.25">
      <c r="B611" s="66"/>
      <c r="C611" s="66"/>
      <c r="D611" s="66"/>
      <c r="E611" s="67"/>
      <c r="I611" s="57"/>
      <c r="J611" s="57"/>
      <c r="K611" s="57"/>
    </row>
    <row r="612" spans="2:11" s="4" customFormat="1" ht="20.25">
      <c r="B612" s="57"/>
      <c r="C612" s="57"/>
      <c r="D612" s="57"/>
      <c r="E612" s="57"/>
      <c r="F612" s="57"/>
      <c r="G612" s="57"/>
      <c r="H612" s="57"/>
      <c r="I612" s="57"/>
      <c r="J612" s="57"/>
      <c r="K612" s="57"/>
    </row>
    <row r="613" spans="2:11" s="4" customFormat="1" ht="29.25" customHeight="1">
      <c r="B613" s="618"/>
      <c r="C613" s="618"/>
      <c r="D613" s="618"/>
      <c r="E613" s="618"/>
      <c r="F613" s="618"/>
      <c r="G613" s="57"/>
      <c r="H613" s="57"/>
      <c r="I613" s="57"/>
      <c r="J613" s="57"/>
      <c r="K613" s="57"/>
    </row>
    <row r="614" spans="2:11" s="4" customFormat="1" ht="12.75">
      <c r="B614" s="68"/>
      <c r="C614" s="68"/>
      <c r="D614" s="68"/>
      <c r="E614" s="68"/>
      <c r="F614" s="68"/>
      <c r="G614" s="68"/>
      <c r="H614" s="68"/>
      <c r="I614" s="69"/>
      <c r="J614" s="69"/>
      <c r="K614" s="615"/>
    </row>
    <row r="615" spans="2:11" s="4" customFormat="1" ht="12.75">
      <c r="B615" s="68"/>
      <c r="C615" s="68"/>
      <c r="D615" s="68"/>
      <c r="E615" s="68"/>
      <c r="F615" s="68"/>
      <c r="G615" s="68"/>
      <c r="H615" s="68"/>
      <c r="I615" s="69"/>
      <c r="J615" s="69"/>
      <c r="K615" s="615"/>
    </row>
    <row r="616" spans="2:11" s="4" customFormat="1" ht="12.75">
      <c r="B616" s="36"/>
      <c r="C616" s="36"/>
      <c r="D616" s="36"/>
      <c r="E616" s="36"/>
      <c r="F616" s="36"/>
      <c r="G616" s="36"/>
      <c r="H616" s="36"/>
      <c r="I616" s="36"/>
      <c r="J616" s="50"/>
      <c r="K616" s="36"/>
    </row>
    <row r="617" spans="2:11" s="4" customFormat="1" ht="12.75">
      <c r="B617" s="36"/>
      <c r="C617" s="36"/>
      <c r="D617" s="36"/>
      <c r="E617" s="36"/>
      <c r="F617" s="36"/>
      <c r="G617" s="36"/>
      <c r="H617" s="36"/>
      <c r="I617" s="58"/>
      <c r="J617" s="70"/>
      <c r="K617" s="50"/>
    </row>
    <row r="618" spans="2:11" s="4" customFormat="1" ht="12.75">
      <c r="B618" s="36"/>
      <c r="C618" s="36"/>
      <c r="D618" s="36"/>
      <c r="E618" s="36"/>
      <c r="F618" s="36"/>
      <c r="G618" s="36"/>
      <c r="H618" s="36"/>
      <c r="I618" s="59"/>
      <c r="J618" s="70"/>
      <c r="K618" s="50"/>
    </row>
    <row r="619" spans="2:11" s="4" customFormat="1" ht="12.75">
      <c r="B619" s="36"/>
      <c r="C619" s="36"/>
      <c r="D619" s="36"/>
      <c r="E619" s="36"/>
      <c r="F619" s="36"/>
      <c r="G619" s="36"/>
      <c r="H619" s="36"/>
      <c r="I619" s="60"/>
      <c r="J619" s="70"/>
      <c r="K619" s="50"/>
    </row>
    <row r="620" spans="2:11" s="4" customFormat="1" ht="12.75">
      <c r="B620" s="36"/>
      <c r="C620" s="36"/>
      <c r="D620" s="36"/>
      <c r="E620" s="36"/>
      <c r="F620" s="36"/>
      <c r="G620" s="36"/>
      <c r="H620" s="36"/>
      <c r="I620" s="60"/>
      <c r="J620" s="70"/>
      <c r="K620" s="50"/>
    </row>
    <row r="621" spans="2:11" s="4" customFormat="1" ht="12.75">
      <c r="B621" s="36"/>
      <c r="C621" s="36"/>
      <c r="D621" s="36"/>
      <c r="E621" s="36"/>
      <c r="F621" s="36"/>
      <c r="G621" s="36"/>
      <c r="H621" s="36"/>
      <c r="I621" s="60"/>
      <c r="J621" s="70"/>
      <c r="K621" s="50"/>
    </row>
    <row r="622" spans="2:11" s="4" customFormat="1" ht="12.75">
      <c r="B622" s="36"/>
      <c r="C622" s="36"/>
      <c r="D622" s="36"/>
      <c r="E622" s="36"/>
      <c r="F622" s="36"/>
      <c r="G622" s="36"/>
      <c r="H622" s="36"/>
      <c r="I622" s="60"/>
      <c r="J622" s="70"/>
      <c r="K622" s="50"/>
    </row>
    <row r="623" spans="2:11" s="4" customFormat="1" ht="12.75">
      <c r="B623" s="36"/>
      <c r="C623" s="36"/>
      <c r="D623" s="36"/>
      <c r="E623" s="36"/>
      <c r="F623" s="36"/>
      <c r="G623" s="36"/>
      <c r="H623" s="36"/>
      <c r="I623" s="36"/>
      <c r="J623" s="36"/>
      <c r="K623" s="36"/>
    </row>
    <row r="624" spans="2:11" s="4" customFormat="1" ht="12.75">
      <c r="B624" s="68"/>
      <c r="C624" s="68"/>
      <c r="D624" s="68"/>
      <c r="E624" s="68"/>
      <c r="F624" s="68"/>
      <c r="G624" s="68"/>
      <c r="H624" s="68"/>
      <c r="I624" s="622"/>
      <c r="J624" s="71"/>
      <c r="K624" s="71"/>
    </row>
    <row r="625" spans="2:11" s="4" customFormat="1" ht="12.75">
      <c r="B625" s="68"/>
      <c r="C625" s="68"/>
      <c r="D625" s="68"/>
      <c r="E625" s="68"/>
      <c r="F625" s="68"/>
      <c r="G625" s="68"/>
      <c r="H625" s="68"/>
      <c r="I625" s="622"/>
      <c r="J625" s="71"/>
      <c r="K625" s="71"/>
    </row>
    <row r="626" spans="2:11" s="4" customFormat="1" ht="12.75">
      <c r="B626" s="61"/>
      <c r="C626" s="61"/>
      <c r="D626" s="61"/>
      <c r="E626" s="36"/>
      <c r="F626" s="62"/>
      <c r="G626" s="62"/>
      <c r="H626" s="36"/>
      <c r="I626" s="62"/>
      <c r="J626" s="72"/>
      <c r="K626" s="50"/>
    </row>
    <row r="627" spans="2:11" s="4" customFormat="1" ht="12.75">
      <c r="B627" s="36"/>
      <c r="C627" s="36"/>
      <c r="D627" s="36"/>
      <c r="E627" s="36"/>
      <c r="F627" s="36"/>
      <c r="G627" s="36"/>
      <c r="H627" s="36"/>
      <c r="I627" s="50"/>
      <c r="J627" s="50"/>
      <c r="K627" s="70"/>
    </row>
    <row r="628" spans="2:11" s="4" customFormat="1" ht="12.75">
      <c r="B628" s="36"/>
      <c r="C628" s="36"/>
      <c r="D628" s="36"/>
      <c r="E628" s="36"/>
      <c r="F628" s="36"/>
      <c r="G628" s="36"/>
      <c r="H628" s="36"/>
      <c r="I628" s="70"/>
      <c r="J628" s="50"/>
      <c r="K628" s="50"/>
    </row>
    <row r="629" spans="2:11" s="4" customFormat="1" ht="12.75">
      <c r="B629" s="36"/>
      <c r="C629" s="36"/>
      <c r="D629" s="36"/>
      <c r="E629" s="36"/>
      <c r="F629" s="36"/>
      <c r="G629" s="36"/>
      <c r="H629" s="36"/>
      <c r="I629" s="47"/>
      <c r="J629" s="50"/>
      <c r="K629" s="50"/>
    </row>
    <row r="630" spans="2:11" s="4" customFormat="1" ht="12.75">
      <c r="B630" s="36"/>
      <c r="C630" s="36"/>
      <c r="D630" s="36"/>
      <c r="E630" s="36"/>
      <c r="F630" s="36"/>
      <c r="G630" s="36"/>
      <c r="H630" s="36"/>
      <c r="I630" s="73"/>
      <c r="J630" s="50"/>
      <c r="K630" s="50"/>
    </row>
    <row r="631" spans="2:11" s="4" customFormat="1" ht="12.75">
      <c r="B631" s="36"/>
      <c r="C631" s="36"/>
      <c r="D631" s="36"/>
      <c r="E631" s="36"/>
      <c r="F631" s="36"/>
      <c r="G631" s="36"/>
      <c r="H631" s="50"/>
      <c r="I631" s="36"/>
      <c r="J631" s="36"/>
      <c r="K631" s="36"/>
    </row>
    <row r="632" spans="2:11" s="4" customFormat="1" ht="12.75">
      <c r="B632" s="63"/>
      <c r="C632" s="63"/>
      <c r="D632" s="63"/>
      <c r="E632" s="36"/>
      <c r="F632" s="36"/>
      <c r="G632" s="36"/>
      <c r="H632" s="50"/>
      <c r="I632" s="36"/>
      <c r="J632" s="36"/>
      <c r="K632" s="36"/>
    </row>
    <row r="633" spans="2:11" s="4" customFormat="1" ht="12.75">
      <c r="B633" s="36"/>
      <c r="C633" s="36"/>
      <c r="D633" s="36"/>
      <c r="E633" s="74"/>
      <c r="F633" s="36"/>
      <c r="G633" s="36"/>
      <c r="H633" s="36"/>
      <c r="I633" s="36"/>
      <c r="J633" s="36"/>
      <c r="K633" s="36"/>
    </row>
    <row r="634" spans="2:11" s="4" customFormat="1" ht="12.75">
      <c r="B634" s="619"/>
      <c r="C634" s="128"/>
      <c r="D634" s="127"/>
      <c r="E634" s="75"/>
      <c r="F634" s="75"/>
      <c r="G634" s="619"/>
      <c r="H634" s="619"/>
      <c r="I634" s="619"/>
      <c r="J634" s="619"/>
      <c r="K634" s="619"/>
    </row>
    <row r="635" spans="2:11" s="4" customFormat="1" ht="12.75">
      <c r="B635" s="619"/>
      <c r="C635" s="128"/>
      <c r="D635" s="127"/>
      <c r="E635" s="75"/>
      <c r="F635" s="75"/>
      <c r="G635" s="75"/>
      <c r="H635" s="75"/>
      <c r="I635" s="620"/>
      <c r="J635" s="620"/>
      <c r="K635" s="620"/>
    </row>
    <row r="636" spans="2:11" s="4" customFormat="1" ht="12.75">
      <c r="B636" s="64"/>
      <c r="C636" s="64"/>
      <c r="D636" s="64"/>
      <c r="E636" s="76"/>
      <c r="F636" s="50"/>
      <c r="G636" s="50"/>
      <c r="H636" s="65"/>
      <c r="I636" s="50"/>
      <c r="J636" s="50"/>
      <c r="K636" s="55"/>
    </row>
    <row r="637" spans="2:11" s="4" customFormat="1" ht="12.75">
      <c r="B637" s="64"/>
      <c r="C637" s="64"/>
      <c r="D637" s="64"/>
      <c r="E637" s="76"/>
      <c r="F637" s="50"/>
      <c r="G637" s="50"/>
      <c r="H637" s="65"/>
      <c r="I637" s="50"/>
      <c r="J637" s="54"/>
      <c r="K637" s="55"/>
    </row>
    <row r="638" spans="2:11" s="4" customFormat="1" ht="12.75">
      <c r="B638" s="64"/>
      <c r="C638" s="64"/>
      <c r="D638" s="64"/>
      <c r="E638" s="76"/>
      <c r="F638" s="50"/>
      <c r="G638" s="50"/>
      <c r="H638" s="65"/>
      <c r="I638" s="50"/>
      <c r="J638" s="54"/>
      <c r="K638" s="36"/>
    </row>
    <row r="639" spans="2:11" s="4" customFormat="1" ht="12.75">
      <c r="B639" s="64"/>
      <c r="C639" s="64"/>
      <c r="D639" s="64"/>
      <c r="E639" s="76"/>
      <c r="F639" s="50"/>
      <c r="G639" s="50"/>
      <c r="H639" s="65"/>
      <c r="I639" s="50"/>
      <c r="J639" s="54"/>
      <c r="K639" s="55"/>
    </row>
    <row r="640" spans="2:11" s="4" customFormat="1" ht="12.75">
      <c r="B640" s="64"/>
      <c r="C640" s="64"/>
      <c r="D640" s="64"/>
      <c r="E640" s="77"/>
      <c r="F640" s="50"/>
      <c r="G640" s="50"/>
      <c r="H640" s="65"/>
      <c r="I640" s="50"/>
      <c r="J640" s="54"/>
      <c r="K640" s="55"/>
    </row>
    <row r="641" spans="2:11" s="4" customFormat="1" ht="12.75">
      <c r="B641" s="64"/>
      <c r="C641" s="64"/>
      <c r="D641" s="64"/>
      <c r="E641" s="77"/>
      <c r="F641" s="50"/>
      <c r="G641" s="50"/>
      <c r="H641" s="65"/>
      <c r="I641" s="50"/>
      <c r="J641" s="54"/>
      <c r="K641" s="55"/>
    </row>
    <row r="642" spans="2:11" s="4" customFormat="1" ht="12.75">
      <c r="B642" s="64"/>
      <c r="C642" s="64"/>
      <c r="D642" s="64"/>
      <c r="E642" s="77"/>
      <c r="F642" s="50"/>
      <c r="G642" s="50"/>
      <c r="H642" s="65"/>
      <c r="I642" s="50"/>
      <c r="J642" s="54"/>
      <c r="K642" s="55"/>
    </row>
    <row r="643" spans="2:11" s="4" customFormat="1" ht="12.75">
      <c r="B643" s="64"/>
      <c r="C643" s="64"/>
      <c r="D643" s="64"/>
      <c r="E643" s="77"/>
      <c r="F643" s="50"/>
      <c r="G643" s="50"/>
      <c r="H643" s="65"/>
      <c r="I643" s="50"/>
      <c r="J643" s="54"/>
      <c r="K643" s="55"/>
    </row>
    <row r="644" spans="2:11" s="4" customFormat="1" ht="12.75">
      <c r="B644" s="64"/>
      <c r="C644" s="64"/>
      <c r="D644" s="64"/>
      <c r="E644" s="77"/>
      <c r="F644" s="50"/>
      <c r="G644" s="50"/>
      <c r="H644" s="65"/>
      <c r="I644" s="50"/>
      <c r="J644" s="54"/>
      <c r="K644" s="55"/>
    </row>
    <row r="645" spans="2:11" s="4" customFormat="1" ht="12.75">
      <c r="B645" s="64"/>
      <c r="C645" s="64"/>
      <c r="D645" s="64"/>
      <c r="E645" s="77"/>
      <c r="F645" s="50"/>
      <c r="G645" s="50"/>
      <c r="H645" s="65"/>
      <c r="I645" s="50"/>
      <c r="J645" s="54"/>
      <c r="K645" s="55"/>
    </row>
    <row r="646" spans="2:11" s="4" customFormat="1" ht="12.75">
      <c r="B646" s="64"/>
      <c r="C646" s="64"/>
      <c r="D646" s="64"/>
      <c r="E646" s="77"/>
      <c r="F646" s="50"/>
      <c r="G646" s="50"/>
      <c r="H646" s="65"/>
      <c r="I646" s="50"/>
      <c r="J646" s="54"/>
      <c r="K646" s="55"/>
    </row>
    <row r="647" spans="2:11" s="4" customFormat="1" ht="12.75">
      <c r="B647" s="64"/>
      <c r="C647" s="64"/>
      <c r="D647" s="64"/>
      <c r="E647" s="77"/>
      <c r="F647" s="50"/>
      <c r="G647" s="50"/>
      <c r="H647" s="65"/>
      <c r="I647" s="50"/>
      <c r="J647" s="54"/>
      <c r="K647" s="55"/>
    </row>
    <row r="648" spans="2:11" s="4" customFormat="1" ht="12.75">
      <c r="B648" s="64"/>
      <c r="C648" s="64"/>
      <c r="D648" s="64"/>
      <c r="E648" s="77"/>
      <c r="F648" s="50"/>
      <c r="G648" s="50"/>
      <c r="H648" s="65"/>
      <c r="I648" s="50"/>
      <c r="J648" s="54"/>
      <c r="K648" s="55"/>
    </row>
    <row r="649" spans="2:11" s="4" customFormat="1" ht="12.75">
      <c r="B649" s="64"/>
      <c r="C649" s="64"/>
      <c r="D649" s="64"/>
      <c r="E649" s="77"/>
      <c r="F649" s="50"/>
      <c r="G649" s="50"/>
      <c r="H649" s="65"/>
      <c r="I649" s="50"/>
      <c r="J649" s="54"/>
      <c r="K649" s="55"/>
    </row>
    <row r="650" spans="2:11" s="4" customFormat="1" ht="12.75">
      <c r="B650" s="64"/>
      <c r="C650" s="64"/>
      <c r="D650" s="64"/>
      <c r="E650" s="77"/>
      <c r="F650" s="50"/>
      <c r="G650" s="50"/>
      <c r="H650" s="65"/>
      <c r="I650" s="50"/>
      <c r="J650" s="54"/>
      <c r="K650" s="55"/>
    </row>
    <row r="651" spans="2:11" s="4" customFormat="1" ht="12.75">
      <c r="B651" s="64"/>
      <c r="C651" s="64"/>
      <c r="D651" s="64"/>
      <c r="E651" s="77"/>
      <c r="F651" s="50"/>
      <c r="G651" s="50"/>
      <c r="H651" s="65"/>
      <c r="I651" s="50"/>
      <c r="J651" s="54"/>
      <c r="K651" s="55"/>
    </row>
    <row r="652" spans="2:11" s="4" customFormat="1" ht="12.75">
      <c r="B652" s="64"/>
      <c r="C652" s="64"/>
      <c r="D652" s="64"/>
      <c r="E652" s="77"/>
      <c r="F652" s="50"/>
      <c r="G652" s="50"/>
      <c r="H652" s="65"/>
      <c r="I652" s="50"/>
      <c r="J652" s="54"/>
      <c r="K652" s="55"/>
    </row>
    <row r="653" spans="2:11" s="4" customFormat="1" ht="12.75">
      <c r="B653" s="64"/>
      <c r="C653" s="64"/>
      <c r="D653" s="64"/>
      <c r="E653" s="77"/>
      <c r="F653" s="50"/>
      <c r="G653" s="50"/>
      <c r="H653" s="65"/>
      <c r="I653" s="50"/>
      <c r="J653" s="54"/>
      <c r="K653" s="55"/>
    </row>
    <row r="654" spans="2:11" s="4" customFormat="1" ht="12.75">
      <c r="B654" s="64"/>
      <c r="C654" s="64"/>
      <c r="D654" s="64"/>
      <c r="E654" s="77"/>
      <c r="F654" s="50"/>
      <c r="G654" s="50"/>
      <c r="H654" s="65"/>
      <c r="I654" s="50"/>
      <c r="J654" s="54"/>
      <c r="K654" s="55"/>
    </row>
    <row r="655" spans="2:11" s="4" customFormat="1" ht="12.75">
      <c r="B655" s="64"/>
      <c r="C655" s="64"/>
      <c r="D655" s="64"/>
      <c r="E655" s="77"/>
      <c r="F655" s="50"/>
      <c r="G655" s="50"/>
      <c r="H655" s="65"/>
      <c r="I655" s="50"/>
      <c r="J655" s="54"/>
      <c r="K655" s="55"/>
    </row>
    <row r="656" spans="2:11" s="4" customFormat="1" ht="12.75">
      <c r="B656" s="64"/>
      <c r="C656" s="64"/>
      <c r="D656" s="64"/>
      <c r="E656" s="77"/>
      <c r="F656" s="50"/>
      <c r="G656" s="50"/>
      <c r="H656" s="65"/>
      <c r="I656" s="50"/>
      <c r="J656" s="54"/>
      <c r="K656" s="55"/>
    </row>
    <row r="657" spans="2:11" s="4" customFormat="1" ht="12.75">
      <c r="B657" s="64"/>
      <c r="C657" s="64"/>
      <c r="D657" s="64"/>
      <c r="E657" s="77"/>
      <c r="F657" s="50"/>
      <c r="G657" s="50"/>
      <c r="H657" s="65"/>
      <c r="I657" s="50"/>
      <c r="J657" s="54"/>
      <c r="K657" s="55"/>
    </row>
    <row r="658" spans="2:11" s="4" customFormat="1" ht="12.75">
      <c r="B658" s="64"/>
      <c r="C658" s="64"/>
      <c r="D658" s="64"/>
      <c r="E658" s="77"/>
      <c r="F658" s="50"/>
      <c r="G658" s="50"/>
      <c r="H658" s="65"/>
      <c r="I658" s="50"/>
      <c r="J658" s="54"/>
      <c r="K658" s="55"/>
    </row>
    <row r="659" spans="2:11" s="4" customFormat="1" ht="12.75">
      <c r="B659" s="64"/>
      <c r="C659" s="64"/>
      <c r="D659" s="64"/>
      <c r="E659" s="77"/>
      <c r="F659" s="50"/>
      <c r="G659" s="50"/>
      <c r="H659" s="65"/>
      <c r="I659" s="50"/>
      <c r="J659" s="54"/>
      <c r="K659" s="55"/>
    </row>
    <row r="660" spans="2:11" s="4" customFormat="1" ht="12.75">
      <c r="B660" s="64"/>
      <c r="C660" s="64"/>
      <c r="D660" s="64"/>
      <c r="E660" s="77"/>
      <c r="F660" s="50"/>
      <c r="G660" s="50"/>
      <c r="H660" s="65"/>
      <c r="I660" s="50"/>
      <c r="J660" s="54"/>
      <c r="K660" s="55"/>
    </row>
    <row r="661" spans="2:11" s="4" customFormat="1"/>
    <row r="662" spans="2:11" s="4" customFormat="1" ht="20.25">
      <c r="B662" s="66"/>
      <c r="C662" s="66"/>
      <c r="D662" s="66"/>
      <c r="E662" s="67"/>
      <c r="I662" s="57"/>
      <c r="J662" s="57"/>
      <c r="K662" s="57"/>
    </row>
    <row r="663" spans="2:11" s="4" customFormat="1" ht="20.25">
      <c r="B663" s="57"/>
      <c r="C663" s="57"/>
      <c r="D663" s="57"/>
      <c r="E663" s="57"/>
      <c r="F663" s="57"/>
      <c r="G663" s="57"/>
      <c r="H663" s="57"/>
      <c r="I663" s="57"/>
      <c r="J663" s="57"/>
      <c r="K663" s="57"/>
    </row>
    <row r="664" spans="2:11" s="4" customFormat="1" ht="31.5" customHeight="1">
      <c r="B664" s="618"/>
      <c r="C664" s="618"/>
      <c r="D664" s="618"/>
      <c r="E664" s="618"/>
      <c r="F664" s="618"/>
      <c r="G664" s="57"/>
      <c r="H664" s="57"/>
      <c r="I664" s="57"/>
      <c r="J664" s="57"/>
      <c r="K664" s="57"/>
    </row>
    <row r="665" spans="2:11" s="4" customFormat="1" ht="12.75">
      <c r="B665" s="68"/>
      <c r="C665" s="68"/>
      <c r="D665" s="68"/>
      <c r="E665" s="68"/>
      <c r="F665" s="68"/>
      <c r="G665" s="68"/>
      <c r="H665" s="68"/>
      <c r="I665" s="69"/>
      <c r="J665" s="69"/>
      <c r="K665" s="615"/>
    </row>
    <row r="666" spans="2:11" s="4" customFormat="1" ht="12.75">
      <c r="B666" s="68"/>
      <c r="C666" s="68"/>
      <c r="D666" s="68"/>
      <c r="E666" s="68"/>
      <c r="F666" s="68"/>
      <c r="G666" s="68"/>
      <c r="H666" s="68"/>
      <c r="I666" s="69"/>
      <c r="J666" s="69"/>
      <c r="K666" s="615"/>
    </row>
    <row r="667" spans="2:11" s="4" customFormat="1" ht="12.75">
      <c r="B667" s="36"/>
      <c r="C667" s="36"/>
      <c r="D667" s="36"/>
      <c r="E667" s="36"/>
      <c r="F667" s="36"/>
      <c r="G667" s="36"/>
      <c r="H667" s="36"/>
      <c r="I667" s="36"/>
      <c r="J667" s="50"/>
      <c r="K667" s="36"/>
    </row>
    <row r="668" spans="2:11" s="4" customFormat="1" ht="12.75">
      <c r="B668" s="36"/>
      <c r="C668" s="36"/>
      <c r="D668" s="36"/>
      <c r="E668" s="36"/>
      <c r="F668" s="36"/>
      <c r="G668" s="36"/>
      <c r="H668" s="36"/>
      <c r="I668" s="58"/>
      <c r="J668" s="70"/>
      <c r="K668" s="50"/>
    </row>
    <row r="669" spans="2:11" s="4" customFormat="1" ht="12.75">
      <c r="B669" s="36"/>
      <c r="C669" s="36"/>
      <c r="D669" s="36"/>
      <c r="E669" s="36"/>
      <c r="F669" s="36"/>
      <c r="G669" s="36"/>
      <c r="H669" s="36"/>
      <c r="I669" s="59"/>
      <c r="J669" s="70"/>
      <c r="K669" s="50"/>
    </row>
    <row r="670" spans="2:11" s="4" customFormat="1" ht="12.75">
      <c r="B670" s="36"/>
      <c r="C670" s="36"/>
      <c r="D670" s="36"/>
      <c r="E670" s="36"/>
      <c r="F670" s="36"/>
      <c r="G670" s="36"/>
      <c r="H670" s="36"/>
      <c r="I670" s="60"/>
      <c r="J670" s="70"/>
      <c r="K670" s="50"/>
    </row>
    <row r="671" spans="2:11" s="4" customFormat="1" ht="12.75">
      <c r="B671" s="36"/>
      <c r="C671" s="36"/>
      <c r="D671" s="36"/>
      <c r="E671" s="36"/>
      <c r="F671" s="36"/>
      <c r="G671" s="36"/>
      <c r="H671" s="36"/>
      <c r="I671" s="60"/>
      <c r="J671" s="70"/>
      <c r="K671" s="50"/>
    </row>
    <row r="672" spans="2:11" s="4" customFormat="1" ht="12.75">
      <c r="B672" s="36"/>
      <c r="C672" s="36"/>
      <c r="D672" s="36"/>
      <c r="E672" s="36"/>
      <c r="F672" s="36"/>
      <c r="G672" s="36"/>
      <c r="H672" s="36"/>
      <c r="I672" s="60"/>
      <c r="J672" s="70"/>
      <c r="K672" s="50"/>
    </row>
    <row r="673" spans="2:11" s="4" customFormat="1" ht="12.75">
      <c r="B673" s="36"/>
      <c r="C673" s="36"/>
      <c r="D673" s="36"/>
      <c r="E673" s="36"/>
      <c r="F673" s="36"/>
      <c r="G673" s="36"/>
      <c r="H673" s="36"/>
      <c r="I673" s="60"/>
      <c r="J673" s="70"/>
      <c r="K673" s="50"/>
    </row>
    <row r="674" spans="2:11" s="4" customFormat="1" ht="12.75">
      <c r="B674" s="36"/>
      <c r="C674" s="36"/>
      <c r="D674" s="36"/>
      <c r="E674" s="36"/>
      <c r="F674" s="36"/>
      <c r="G674" s="36"/>
      <c r="H674" s="36"/>
      <c r="I674" s="36"/>
      <c r="J674" s="36"/>
      <c r="K674" s="36"/>
    </row>
    <row r="675" spans="2:11" s="4" customFormat="1" ht="12.75">
      <c r="B675" s="68"/>
      <c r="C675" s="68"/>
      <c r="D675" s="68"/>
      <c r="E675" s="68"/>
      <c r="F675" s="68"/>
      <c r="G675" s="68"/>
      <c r="H675" s="68"/>
      <c r="I675" s="622"/>
      <c r="J675" s="71"/>
      <c r="K675" s="71"/>
    </row>
    <row r="676" spans="2:11" s="4" customFormat="1" ht="12.75">
      <c r="B676" s="68"/>
      <c r="C676" s="68"/>
      <c r="D676" s="68"/>
      <c r="E676" s="68"/>
      <c r="F676" s="68"/>
      <c r="G676" s="68"/>
      <c r="H676" s="68"/>
      <c r="I676" s="622"/>
      <c r="J676" s="71"/>
      <c r="K676" s="71"/>
    </row>
    <row r="677" spans="2:11" s="4" customFormat="1" ht="12.75">
      <c r="B677" s="61"/>
      <c r="C677" s="61"/>
      <c r="D677" s="61"/>
      <c r="E677" s="36"/>
      <c r="F677" s="62"/>
      <c r="G677" s="62"/>
      <c r="H677" s="36"/>
      <c r="I677" s="62"/>
      <c r="J677" s="72"/>
      <c r="K677" s="50"/>
    </row>
    <row r="678" spans="2:11" s="4" customFormat="1" ht="12.75">
      <c r="B678" s="36"/>
      <c r="C678" s="36"/>
      <c r="D678" s="36"/>
      <c r="E678" s="36"/>
      <c r="F678" s="36"/>
      <c r="G678" s="36"/>
      <c r="H678" s="36"/>
      <c r="I678" s="50"/>
      <c r="J678" s="50"/>
      <c r="K678" s="70"/>
    </row>
    <row r="679" spans="2:11" s="4" customFormat="1" ht="12.75">
      <c r="B679" s="36"/>
      <c r="C679" s="36"/>
      <c r="D679" s="36"/>
      <c r="E679" s="36"/>
      <c r="F679" s="36"/>
      <c r="G679" s="36"/>
      <c r="H679" s="36"/>
      <c r="I679" s="70"/>
      <c r="J679" s="50"/>
      <c r="K679" s="50"/>
    </row>
    <row r="680" spans="2:11" s="4" customFormat="1" ht="12.75">
      <c r="B680" s="36"/>
      <c r="C680" s="36"/>
      <c r="D680" s="36"/>
      <c r="E680" s="36"/>
      <c r="F680" s="36"/>
      <c r="G680" s="36"/>
      <c r="H680" s="36"/>
      <c r="I680" s="47"/>
      <c r="J680" s="50"/>
      <c r="K680" s="50"/>
    </row>
    <row r="681" spans="2:11" s="4" customFormat="1" ht="12.75">
      <c r="B681" s="36"/>
      <c r="C681" s="36"/>
      <c r="D681" s="36"/>
      <c r="E681" s="36"/>
      <c r="F681" s="36"/>
      <c r="G681" s="36"/>
      <c r="H681" s="36"/>
      <c r="I681" s="73"/>
      <c r="J681" s="50"/>
      <c r="K681" s="50"/>
    </row>
    <row r="682" spans="2:11" s="4" customFormat="1" ht="12.75">
      <c r="B682" s="36"/>
      <c r="C682" s="36"/>
      <c r="D682" s="36"/>
      <c r="E682" s="36"/>
      <c r="F682" s="36"/>
      <c r="G682" s="36"/>
      <c r="H682" s="50"/>
      <c r="I682" s="36"/>
      <c r="J682" s="36"/>
      <c r="K682" s="36"/>
    </row>
    <row r="683" spans="2:11" s="4" customFormat="1" ht="12.75">
      <c r="B683" s="63"/>
      <c r="C683" s="63"/>
      <c r="D683" s="63"/>
      <c r="E683" s="36"/>
      <c r="F683" s="36"/>
      <c r="G683" s="36"/>
      <c r="H683" s="50"/>
      <c r="I683" s="36"/>
      <c r="J683" s="36"/>
      <c r="K683" s="36"/>
    </row>
    <row r="684" spans="2:11" s="4" customFormat="1" ht="12.75">
      <c r="B684" s="36"/>
      <c r="C684" s="36"/>
      <c r="D684" s="36"/>
      <c r="E684" s="74"/>
      <c r="F684" s="36"/>
      <c r="G684" s="36"/>
      <c r="H684" s="36"/>
      <c r="I684" s="36"/>
      <c r="J684" s="36"/>
      <c r="K684" s="36"/>
    </row>
    <row r="685" spans="2:11" s="4" customFormat="1" ht="12.75">
      <c r="B685" s="619"/>
      <c r="C685" s="128"/>
      <c r="D685" s="127"/>
      <c r="E685" s="75"/>
      <c r="F685" s="75"/>
      <c r="G685" s="619"/>
      <c r="H685" s="619"/>
      <c r="I685" s="619"/>
      <c r="J685" s="619"/>
      <c r="K685" s="619"/>
    </row>
    <row r="686" spans="2:11" s="4" customFormat="1" ht="12.75">
      <c r="B686" s="619"/>
      <c r="C686" s="128"/>
      <c r="D686" s="127"/>
      <c r="E686" s="75"/>
      <c r="F686" s="75"/>
      <c r="G686" s="75"/>
      <c r="H686" s="75"/>
      <c r="I686" s="620"/>
      <c r="J686" s="620"/>
      <c r="K686" s="620"/>
    </row>
    <row r="687" spans="2:11" s="4" customFormat="1" ht="12.75">
      <c r="B687" s="64"/>
      <c r="C687" s="64"/>
      <c r="D687" s="64"/>
      <c r="E687" s="76"/>
      <c r="F687" s="50"/>
      <c r="G687" s="50"/>
      <c r="H687" s="65"/>
      <c r="I687" s="50"/>
      <c r="J687" s="50"/>
      <c r="K687" s="55"/>
    </row>
    <row r="688" spans="2:11" s="4" customFormat="1" ht="12.75">
      <c r="B688" s="64"/>
      <c r="C688" s="64"/>
      <c r="D688" s="64"/>
      <c r="E688" s="76"/>
      <c r="F688" s="50"/>
      <c r="G688" s="50"/>
      <c r="H688" s="65"/>
      <c r="I688" s="50"/>
      <c r="J688" s="54"/>
      <c r="K688" s="55"/>
    </row>
    <row r="689" spans="2:11" s="4" customFormat="1" ht="12.75">
      <c r="B689" s="64"/>
      <c r="C689" s="64"/>
      <c r="D689" s="64"/>
      <c r="E689" s="76"/>
      <c r="F689" s="50"/>
      <c r="G689" s="50"/>
      <c r="H689" s="65"/>
      <c r="I689" s="50"/>
      <c r="J689" s="54"/>
      <c r="K689" s="36"/>
    </row>
    <row r="690" spans="2:11" s="4" customFormat="1" ht="12.75">
      <c r="B690" s="64"/>
      <c r="C690" s="64"/>
      <c r="D690" s="64"/>
      <c r="E690" s="76"/>
      <c r="F690" s="50"/>
      <c r="G690" s="50"/>
      <c r="H690" s="65"/>
      <c r="I690" s="50"/>
      <c r="J690" s="54"/>
      <c r="K690" s="55"/>
    </row>
    <row r="691" spans="2:11" s="4" customFormat="1" ht="12.75">
      <c r="B691" s="64"/>
      <c r="C691" s="64"/>
      <c r="D691" s="64"/>
      <c r="E691" s="77"/>
      <c r="F691" s="50"/>
      <c r="G691" s="50"/>
      <c r="H691" s="65"/>
      <c r="I691" s="50"/>
      <c r="J691" s="54"/>
      <c r="K691" s="55"/>
    </row>
    <row r="692" spans="2:11" s="4" customFormat="1" ht="12.75">
      <c r="B692" s="64"/>
      <c r="C692" s="64"/>
      <c r="D692" s="64"/>
      <c r="E692" s="77"/>
      <c r="F692" s="50"/>
      <c r="G692" s="50"/>
      <c r="H692" s="65"/>
      <c r="I692" s="50"/>
      <c r="J692" s="54"/>
      <c r="K692" s="55"/>
    </row>
    <row r="693" spans="2:11" s="4" customFormat="1" ht="12.75">
      <c r="B693" s="64"/>
      <c r="C693" s="64"/>
      <c r="D693" s="64"/>
      <c r="E693" s="77"/>
      <c r="F693" s="50"/>
      <c r="G693" s="50"/>
      <c r="H693" s="65"/>
      <c r="I693" s="50"/>
      <c r="J693" s="54"/>
      <c r="K693" s="55"/>
    </row>
    <row r="694" spans="2:11" s="4" customFormat="1" ht="12.75">
      <c r="B694" s="64"/>
      <c r="C694" s="64"/>
      <c r="D694" s="64"/>
      <c r="E694" s="77"/>
      <c r="F694" s="50"/>
      <c r="G694" s="50"/>
      <c r="H694" s="65"/>
      <c r="I694" s="50"/>
      <c r="J694" s="54"/>
      <c r="K694" s="55"/>
    </row>
    <row r="695" spans="2:11" s="4" customFormat="1" ht="12.75">
      <c r="B695" s="64"/>
      <c r="C695" s="64"/>
      <c r="D695" s="64"/>
      <c r="E695" s="77"/>
      <c r="F695" s="50"/>
      <c r="G695" s="50"/>
      <c r="H695" s="65"/>
      <c r="I695" s="50"/>
      <c r="J695" s="54"/>
      <c r="K695" s="55"/>
    </row>
    <row r="696" spans="2:11" s="4" customFormat="1" ht="12.75">
      <c r="B696" s="64"/>
      <c r="C696" s="64"/>
      <c r="D696" s="64"/>
      <c r="E696" s="77"/>
      <c r="F696" s="50"/>
      <c r="G696" s="50"/>
      <c r="H696" s="65"/>
      <c r="I696" s="50"/>
      <c r="J696" s="54"/>
      <c r="K696" s="55"/>
    </row>
    <row r="697" spans="2:11" s="4" customFormat="1" ht="12.75">
      <c r="B697" s="64"/>
      <c r="C697" s="64"/>
      <c r="D697" s="64"/>
      <c r="E697" s="77"/>
      <c r="F697" s="50"/>
      <c r="G697" s="50"/>
      <c r="H697" s="65"/>
      <c r="I697" s="50"/>
      <c r="J697" s="54"/>
      <c r="K697" s="55"/>
    </row>
    <row r="698" spans="2:11" s="4" customFormat="1" ht="12.75">
      <c r="B698" s="64"/>
      <c r="C698" s="64"/>
      <c r="D698" s="64"/>
      <c r="E698" s="77"/>
      <c r="F698" s="50"/>
      <c r="G698" s="50"/>
      <c r="H698" s="65"/>
      <c r="I698" s="50"/>
      <c r="J698" s="54"/>
      <c r="K698" s="55"/>
    </row>
    <row r="699" spans="2:11" s="4" customFormat="1" ht="12.75">
      <c r="B699" s="64"/>
      <c r="C699" s="64"/>
      <c r="D699" s="64"/>
      <c r="E699" s="77"/>
      <c r="F699" s="50"/>
      <c r="G699" s="50"/>
      <c r="H699" s="65"/>
      <c r="I699" s="50"/>
      <c r="J699" s="54"/>
      <c r="K699" s="55"/>
    </row>
    <row r="700" spans="2:11" s="4" customFormat="1" ht="12.75">
      <c r="B700" s="64"/>
      <c r="C700" s="64"/>
      <c r="D700" s="64"/>
      <c r="E700" s="77"/>
      <c r="F700" s="50"/>
      <c r="G700" s="50"/>
      <c r="H700" s="65"/>
      <c r="I700" s="50"/>
      <c r="J700" s="54"/>
      <c r="K700" s="55"/>
    </row>
    <row r="701" spans="2:11" s="4" customFormat="1" ht="12.75">
      <c r="B701" s="64"/>
      <c r="C701" s="64"/>
      <c r="D701" s="64"/>
      <c r="E701" s="77"/>
      <c r="F701" s="50"/>
      <c r="G701" s="50"/>
      <c r="H701" s="65"/>
      <c r="I701" s="50"/>
      <c r="J701" s="54"/>
      <c r="K701" s="55"/>
    </row>
    <row r="702" spans="2:11" s="4" customFormat="1" ht="12.75">
      <c r="B702" s="64"/>
      <c r="C702" s="64"/>
      <c r="D702" s="64"/>
      <c r="E702" s="77"/>
      <c r="F702" s="50"/>
      <c r="G702" s="50"/>
      <c r="H702" s="65"/>
      <c r="I702" s="50"/>
      <c r="J702" s="54"/>
      <c r="K702" s="55"/>
    </row>
    <row r="703" spans="2:11" s="4" customFormat="1" ht="12.75">
      <c r="B703" s="64"/>
      <c r="C703" s="64"/>
      <c r="D703" s="64"/>
      <c r="E703" s="77"/>
      <c r="F703" s="50"/>
      <c r="G703" s="50"/>
      <c r="H703" s="65"/>
      <c r="I703" s="50"/>
      <c r="J703" s="54"/>
      <c r="K703" s="55"/>
    </row>
    <row r="704" spans="2:11" s="4" customFormat="1" ht="12.75">
      <c r="B704" s="64"/>
      <c r="C704" s="64"/>
      <c r="D704" s="64"/>
      <c r="E704" s="77"/>
      <c r="F704" s="50"/>
      <c r="G704" s="50"/>
      <c r="H704" s="65"/>
      <c r="I704" s="50"/>
      <c r="J704" s="54"/>
      <c r="K704" s="55"/>
    </row>
    <row r="705" spans="2:11" s="4" customFormat="1" ht="12.75">
      <c r="B705" s="64"/>
      <c r="C705" s="64"/>
      <c r="D705" s="64"/>
      <c r="E705" s="77"/>
      <c r="F705" s="50"/>
      <c r="G705" s="50"/>
      <c r="H705" s="65"/>
      <c r="I705" s="50"/>
      <c r="J705" s="54"/>
      <c r="K705" s="55"/>
    </row>
    <row r="706" spans="2:11" s="4" customFormat="1" ht="12.75">
      <c r="B706" s="64"/>
      <c r="C706" s="64"/>
      <c r="D706" s="64"/>
      <c r="E706" s="77"/>
      <c r="F706" s="50"/>
      <c r="G706" s="50"/>
      <c r="H706" s="65"/>
      <c r="I706" s="50"/>
      <c r="J706" s="54"/>
      <c r="K706" s="55"/>
    </row>
    <row r="707" spans="2:11" s="4" customFormat="1" ht="12.75">
      <c r="B707" s="64"/>
      <c r="C707" s="64"/>
      <c r="D707" s="64"/>
      <c r="E707" s="77"/>
      <c r="F707" s="50"/>
      <c r="G707" s="50"/>
      <c r="H707" s="65"/>
      <c r="I707" s="50"/>
      <c r="J707" s="54"/>
      <c r="K707" s="55"/>
    </row>
    <row r="708" spans="2:11" s="4" customFormat="1" ht="12.75">
      <c r="B708" s="64"/>
      <c r="C708" s="64"/>
      <c r="D708" s="64"/>
      <c r="E708" s="77"/>
      <c r="F708" s="50"/>
      <c r="G708" s="50"/>
      <c r="H708" s="65"/>
      <c r="I708" s="50"/>
      <c r="J708" s="54"/>
      <c r="K708" s="55"/>
    </row>
    <row r="709" spans="2:11" s="4" customFormat="1" ht="12.75">
      <c r="B709" s="64"/>
      <c r="C709" s="64"/>
      <c r="D709" s="64"/>
      <c r="E709" s="77"/>
      <c r="F709" s="50"/>
      <c r="G709" s="50"/>
      <c r="H709" s="65"/>
      <c r="I709" s="50"/>
      <c r="J709" s="54"/>
      <c r="K709" s="55"/>
    </row>
    <row r="710" spans="2:11" s="4" customFormat="1" ht="12.75">
      <c r="B710" s="64"/>
      <c r="C710" s="64"/>
      <c r="D710" s="64"/>
      <c r="E710" s="77"/>
      <c r="F710" s="50"/>
      <c r="G710" s="50"/>
      <c r="H710" s="65"/>
      <c r="I710" s="50"/>
      <c r="J710" s="54"/>
      <c r="K710" s="55"/>
    </row>
    <row r="711" spans="2:11" s="4" customFormat="1" ht="12.75">
      <c r="B711" s="64"/>
      <c r="C711" s="64"/>
      <c r="D711" s="64"/>
      <c r="E711" s="77"/>
      <c r="F711" s="50"/>
      <c r="G711" s="50"/>
      <c r="H711" s="65"/>
      <c r="I711" s="50"/>
      <c r="J711" s="54"/>
      <c r="K711" s="55"/>
    </row>
    <row r="712" spans="2:11" s="4" customFormat="1"/>
    <row r="713" spans="2:11" s="4" customFormat="1"/>
    <row r="714" spans="2:11" s="4" customFormat="1" ht="20.25">
      <c r="B714" s="618"/>
      <c r="C714" s="618"/>
      <c r="D714" s="618"/>
      <c r="E714" s="618"/>
      <c r="F714" s="618"/>
      <c r="G714" s="57"/>
      <c r="H714" s="57"/>
      <c r="I714" s="57"/>
      <c r="J714" s="57"/>
      <c r="K714" s="57"/>
    </row>
    <row r="715" spans="2:11" s="4" customFormat="1" ht="12.75">
      <c r="B715" s="68"/>
      <c r="C715" s="68"/>
      <c r="D715" s="68"/>
      <c r="E715" s="68"/>
      <c r="F715" s="68"/>
      <c r="G715" s="68"/>
      <c r="H715" s="68"/>
      <c r="I715" s="69"/>
      <c r="J715" s="69"/>
      <c r="K715" s="615"/>
    </row>
    <row r="716" spans="2:11" s="4" customFormat="1" ht="12.75">
      <c r="B716" s="68"/>
      <c r="C716" s="68"/>
      <c r="D716" s="68"/>
      <c r="E716" s="68"/>
      <c r="F716" s="68"/>
      <c r="G716" s="68"/>
      <c r="H716" s="68"/>
      <c r="I716" s="69"/>
      <c r="J716" s="69"/>
      <c r="K716" s="615"/>
    </row>
    <row r="717" spans="2:11" s="4" customFormat="1" ht="12.75">
      <c r="B717" s="36"/>
      <c r="C717" s="36"/>
      <c r="D717" s="36"/>
      <c r="E717" s="36"/>
      <c r="F717" s="36"/>
      <c r="G717" s="36"/>
      <c r="H717" s="36"/>
      <c r="I717" s="36"/>
      <c r="J717" s="50"/>
      <c r="K717" s="36"/>
    </row>
    <row r="718" spans="2:11" s="4" customFormat="1" ht="12.75">
      <c r="B718" s="36"/>
      <c r="C718" s="36"/>
      <c r="D718" s="36"/>
      <c r="E718" s="36"/>
      <c r="F718" s="36"/>
      <c r="G718" s="36"/>
      <c r="H718" s="36"/>
      <c r="I718" s="58"/>
      <c r="J718" s="70"/>
      <c r="K718" s="50"/>
    </row>
    <row r="719" spans="2:11" s="4" customFormat="1" ht="12.75">
      <c r="B719" s="36"/>
      <c r="C719" s="36"/>
      <c r="D719" s="36"/>
      <c r="E719" s="36"/>
      <c r="F719" s="36"/>
      <c r="G719" s="36"/>
      <c r="H719" s="36"/>
      <c r="I719" s="59"/>
      <c r="J719" s="70"/>
      <c r="K719" s="50"/>
    </row>
    <row r="720" spans="2:11" s="4" customFormat="1" ht="12.75">
      <c r="B720" s="36"/>
      <c r="C720" s="36"/>
      <c r="D720" s="36"/>
      <c r="E720" s="36"/>
      <c r="F720" s="36"/>
      <c r="G720" s="36"/>
      <c r="H720" s="36"/>
      <c r="I720" s="60"/>
      <c r="J720" s="70"/>
      <c r="K720" s="50"/>
    </row>
    <row r="721" spans="2:11" s="4" customFormat="1" ht="12.75">
      <c r="B721" s="36"/>
      <c r="C721" s="36"/>
      <c r="D721" s="36"/>
      <c r="E721" s="36"/>
      <c r="F721" s="36"/>
      <c r="G721" s="36"/>
      <c r="H721" s="36"/>
      <c r="I721" s="60"/>
      <c r="J721" s="70"/>
      <c r="K721" s="50"/>
    </row>
    <row r="722" spans="2:11" s="4" customFormat="1" ht="12.75">
      <c r="B722" s="36"/>
      <c r="C722" s="36"/>
      <c r="D722" s="36"/>
      <c r="E722" s="36"/>
      <c r="F722" s="36"/>
      <c r="G722" s="36"/>
      <c r="H722" s="36"/>
      <c r="I722" s="60"/>
      <c r="J722" s="70"/>
      <c r="K722" s="50"/>
    </row>
    <row r="723" spans="2:11" s="4" customFormat="1" ht="12.75">
      <c r="B723" s="36"/>
      <c r="C723" s="36"/>
      <c r="D723" s="36"/>
      <c r="E723" s="36"/>
      <c r="F723" s="36"/>
      <c r="G723" s="36"/>
      <c r="H723" s="36"/>
      <c r="I723" s="60"/>
      <c r="J723" s="70"/>
      <c r="K723" s="50"/>
    </row>
    <row r="724" spans="2:11" s="4" customFormat="1" ht="12.75">
      <c r="B724" s="36"/>
      <c r="C724" s="36"/>
      <c r="D724" s="36"/>
      <c r="E724" s="36"/>
      <c r="F724" s="36"/>
      <c r="G724" s="36"/>
      <c r="H724" s="36"/>
      <c r="I724" s="36"/>
      <c r="J724" s="36"/>
      <c r="K724" s="36"/>
    </row>
    <row r="725" spans="2:11" s="4" customFormat="1" ht="12.75">
      <c r="B725" s="68"/>
      <c r="C725" s="68"/>
      <c r="D725" s="68"/>
      <c r="E725" s="68"/>
      <c r="F725" s="68"/>
      <c r="G725" s="68"/>
      <c r="H725" s="68"/>
      <c r="I725" s="622"/>
      <c r="J725" s="71"/>
      <c r="K725" s="71"/>
    </row>
    <row r="726" spans="2:11" s="4" customFormat="1" ht="12.75">
      <c r="B726" s="68"/>
      <c r="C726" s="68"/>
      <c r="D726" s="68"/>
      <c r="E726" s="68"/>
      <c r="F726" s="68"/>
      <c r="G726" s="68"/>
      <c r="H726" s="68"/>
      <c r="I726" s="622"/>
      <c r="J726" s="71"/>
      <c r="K726" s="71"/>
    </row>
    <row r="727" spans="2:11" s="4" customFormat="1" ht="12.75">
      <c r="B727" s="61"/>
      <c r="C727" s="61"/>
      <c r="D727" s="61"/>
      <c r="E727" s="36"/>
      <c r="F727" s="62"/>
      <c r="G727" s="62"/>
      <c r="H727" s="36"/>
      <c r="I727" s="62"/>
      <c r="J727" s="72"/>
      <c r="K727" s="50"/>
    </row>
    <row r="728" spans="2:11" s="4" customFormat="1" ht="12.75">
      <c r="B728" s="36"/>
      <c r="C728" s="36"/>
      <c r="D728" s="36"/>
      <c r="E728" s="36"/>
      <c r="F728" s="36"/>
      <c r="G728" s="36"/>
      <c r="H728" s="36"/>
      <c r="I728" s="50"/>
      <c r="J728" s="50"/>
      <c r="K728" s="70"/>
    </row>
    <row r="729" spans="2:11" s="4" customFormat="1" ht="12.75">
      <c r="B729" s="36"/>
      <c r="C729" s="36"/>
      <c r="D729" s="36"/>
      <c r="E729" s="36"/>
      <c r="F729" s="36"/>
      <c r="G729" s="36"/>
      <c r="H729" s="36"/>
      <c r="I729" s="70"/>
      <c r="J729" s="50"/>
      <c r="K729" s="50"/>
    </row>
    <row r="730" spans="2:11" s="4" customFormat="1" ht="12.75">
      <c r="B730" s="36"/>
      <c r="C730" s="36"/>
      <c r="D730" s="36"/>
      <c r="E730" s="36"/>
      <c r="F730" s="36"/>
      <c r="G730" s="36"/>
      <c r="H730" s="36"/>
      <c r="I730" s="47"/>
      <c r="J730" s="50"/>
      <c r="K730" s="50"/>
    </row>
    <row r="731" spans="2:11" s="4" customFormat="1" ht="12.75">
      <c r="B731" s="36"/>
      <c r="C731" s="36"/>
      <c r="D731" s="36"/>
      <c r="E731" s="36"/>
      <c r="F731" s="36"/>
      <c r="G731" s="36"/>
      <c r="H731" s="36"/>
      <c r="I731" s="73"/>
      <c r="J731" s="50"/>
      <c r="K731" s="50"/>
    </row>
    <row r="732" spans="2:11" s="4" customFormat="1" ht="12.75">
      <c r="B732" s="36"/>
      <c r="C732" s="36"/>
      <c r="D732" s="36"/>
      <c r="E732" s="36"/>
      <c r="F732" s="36"/>
      <c r="G732" s="36"/>
      <c r="H732" s="50"/>
      <c r="I732" s="36"/>
      <c r="J732" s="36"/>
      <c r="K732" s="36"/>
    </row>
    <row r="733" spans="2:11" s="4" customFormat="1" ht="12.75">
      <c r="B733" s="63"/>
      <c r="C733" s="63"/>
      <c r="D733" s="63"/>
      <c r="E733" s="36"/>
      <c r="F733" s="36"/>
      <c r="G733" s="36"/>
      <c r="H733" s="50"/>
      <c r="I733" s="36"/>
      <c r="J733" s="36"/>
      <c r="K733" s="36"/>
    </row>
    <row r="734" spans="2:11" s="4" customFormat="1" ht="12.75">
      <c r="B734" s="36"/>
      <c r="C734" s="36"/>
      <c r="D734" s="36"/>
      <c r="E734" s="74"/>
      <c r="F734" s="36"/>
      <c r="G734" s="36"/>
      <c r="H734" s="36"/>
      <c r="I734" s="36"/>
      <c r="J734" s="36"/>
      <c r="K734" s="36"/>
    </row>
    <row r="735" spans="2:11" s="4" customFormat="1" ht="12.75">
      <c r="B735" s="619"/>
      <c r="C735" s="128"/>
      <c r="D735" s="127"/>
      <c r="E735" s="75"/>
      <c r="F735" s="75"/>
      <c r="G735" s="619"/>
      <c r="H735" s="619"/>
      <c r="I735" s="619"/>
      <c r="J735" s="619"/>
      <c r="K735" s="619"/>
    </row>
    <row r="736" spans="2:11" s="4" customFormat="1" ht="12.75">
      <c r="B736" s="619"/>
      <c r="C736" s="128"/>
      <c r="D736" s="127"/>
      <c r="E736" s="75"/>
      <c r="F736" s="75"/>
      <c r="G736" s="75"/>
      <c r="H736" s="75"/>
      <c r="I736" s="620"/>
      <c r="J736" s="620"/>
      <c r="K736" s="620"/>
    </row>
    <row r="737" spans="2:11" s="4" customFormat="1" ht="12.75">
      <c r="B737" s="64"/>
      <c r="C737" s="64"/>
      <c r="D737" s="64"/>
      <c r="E737" s="76"/>
      <c r="F737" s="50"/>
      <c r="G737" s="50"/>
      <c r="H737" s="65"/>
      <c r="I737" s="50"/>
      <c r="J737" s="50"/>
      <c r="K737" s="55"/>
    </row>
    <row r="738" spans="2:11" s="4" customFormat="1" ht="12.75">
      <c r="B738" s="64"/>
      <c r="C738" s="64"/>
      <c r="D738" s="64"/>
      <c r="E738" s="76"/>
      <c r="F738" s="50"/>
      <c r="G738" s="50"/>
      <c r="H738" s="65"/>
      <c r="I738" s="50"/>
      <c r="J738" s="54"/>
      <c r="K738" s="55"/>
    </row>
    <row r="739" spans="2:11" s="4" customFormat="1" ht="12.75">
      <c r="B739" s="64"/>
      <c r="C739" s="64"/>
      <c r="D739" s="64"/>
      <c r="E739" s="76"/>
      <c r="F739" s="50"/>
      <c r="G739" s="50"/>
      <c r="H739" s="65"/>
      <c r="I739" s="50"/>
      <c r="J739" s="54"/>
      <c r="K739" s="36"/>
    </row>
    <row r="740" spans="2:11" s="4" customFormat="1" ht="12.75">
      <c r="B740" s="64"/>
      <c r="C740" s="64"/>
      <c r="D740" s="64"/>
      <c r="E740" s="76"/>
      <c r="F740" s="50"/>
      <c r="G740" s="50"/>
      <c r="H740" s="65"/>
      <c r="I740" s="50"/>
      <c r="J740" s="54"/>
      <c r="K740" s="55"/>
    </row>
    <row r="741" spans="2:11" s="4" customFormat="1" ht="12.75">
      <c r="B741" s="64"/>
      <c r="C741" s="64"/>
      <c r="D741" s="64"/>
      <c r="E741" s="77"/>
      <c r="F741" s="50"/>
      <c r="G741" s="50"/>
      <c r="H741" s="65"/>
      <c r="I741" s="50"/>
      <c r="J741" s="54"/>
      <c r="K741" s="55"/>
    </row>
    <row r="742" spans="2:11" s="4" customFormat="1" ht="12.75">
      <c r="B742" s="64"/>
      <c r="C742" s="64"/>
      <c r="D742" s="64"/>
      <c r="E742" s="77"/>
      <c r="F742" s="50"/>
      <c r="G742" s="50"/>
      <c r="H742" s="65"/>
      <c r="I742" s="50"/>
      <c r="J742" s="54"/>
      <c r="K742" s="55"/>
    </row>
    <row r="743" spans="2:11" s="4" customFormat="1" ht="12.75">
      <c r="B743" s="64"/>
      <c r="C743" s="64"/>
      <c r="D743" s="64"/>
      <c r="E743" s="77"/>
      <c r="F743" s="50"/>
      <c r="G743" s="50"/>
      <c r="H743" s="65"/>
      <c r="I743" s="50"/>
      <c r="J743" s="54"/>
      <c r="K743" s="55"/>
    </row>
    <row r="744" spans="2:11" s="4" customFormat="1" ht="12.75">
      <c r="B744" s="64"/>
      <c r="C744" s="64"/>
      <c r="D744" s="64"/>
      <c r="E744" s="77"/>
      <c r="F744" s="50"/>
      <c r="G744" s="50"/>
      <c r="H744" s="65"/>
      <c r="I744" s="50"/>
      <c r="J744" s="54"/>
      <c r="K744" s="55"/>
    </row>
    <row r="745" spans="2:11" s="4" customFormat="1" ht="12.75">
      <c r="B745" s="64"/>
      <c r="C745" s="64"/>
      <c r="D745" s="64"/>
      <c r="E745" s="77"/>
      <c r="F745" s="50"/>
      <c r="G745" s="50"/>
      <c r="H745" s="65"/>
      <c r="I745" s="50"/>
      <c r="J745" s="54"/>
      <c r="K745" s="55"/>
    </row>
    <row r="746" spans="2:11" s="4" customFormat="1" ht="12.75">
      <c r="B746" s="64"/>
      <c r="C746" s="64"/>
      <c r="D746" s="64"/>
      <c r="E746" s="77"/>
      <c r="F746" s="50"/>
      <c r="G746" s="50"/>
      <c r="H746" s="65"/>
      <c r="I746" s="50"/>
      <c r="J746" s="54"/>
      <c r="K746" s="55"/>
    </row>
    <row r="747" spans="2:11" s="4" customFormat="1" ht="12.75">
      <c r="B747" s="64"/>
      <c r="C747" s="64"/>
      <c r="D747" s="64"/>
      <c r="E747" s="77"/>
      <c r="F747" s="50"/>
      <c r="G747" s="50"/>
      <c r="H747" s="65"/>
      <c r="I747" s="50"/>
      <c r="J747" s="54"/>
      <c r="K747" s="55"/>
    </row>
    <row r="748" spans="2:11" s="4" customFormat="1" ht="12.75">
      <c r="B748" s="64"/>
      <c r="C748" s="64"/>
      <c r="D748" s="64"/>
      <c r="E748" s="77"/>
      <c r="F748" s="50"/>
      <c r="G748" s="50"/>
      <c r="H748" s="65"/>
      <c r="I748" s="50"/>
      <c r="J748" s="54"/>
      <c r="K748" s="55"/>
    </row>
    <row r="749" spans="2:11" s="4" customFormat="1" ht="12.75">
      <c r="B749" s="64"/>
      <c r="C749" s="64"/>
      <c r="D749" s="64"/>
      <c r="E749" s="77"/>
      <c r="F749" s="50"/>
      <c r="G749" s="50"/>
      <c r="H749" s="65"/>
      <c r="I749" s="50"/>
      <c r="J749" s="54"/>
      <c r="K749" s="55"/>
    </row>
    <row r="750" spans="2:11" s="4" customFormat="1" ht="12.75">
      <c r="B750" s="64"/>
      <c r="C750" s="64"/>
      <c r="D750" s="64"/>
      <c r="E750" s="77"/>
      <c r="F750" s="50"/>
      <c r="G750" s="50"/>
      <c r="H750" s="65"/>
      <c r="I750" s="50"/>
      <c r="J750" s="54"/>
      <c r="K750" s="55"/>
    </row>
    <row r="751" spans="2:11" s="4" customFormat="1" ht="12.75">
      <c r="B751" s="64"/>
      <c r="C751" s="64"/>
      <c r="D751" s="64"/>
      <c r="E751" s="77"/>
      <c r="F751" s="50"/>
      <c r="G751" s="50"/>
      <c r="H751" s="65"/>
      <c r="I751" s="50"/>
      <c r="J751" s="54"/>
      <c r="K751" s="55"/>
    </row>
    <row r="752" spans="2:11" s="4" customFormat="1" ht="12.75">
      <c r="B752" s="64"/>
      <c r="C752" s="64"/>
      <c r="D752" s="64"/>
      <c r="E752" s="77"/>
      <c r="F752" s="50"/>
      <c r="G752" s="50"/>
      <c r="H752" s="65"/>
      <c r="I752" s="50"/>
      <c r="J752" s="54"/>
      <c r="K752" s="55"/>
    </row>
    <row r="753" spans="2:11" s="4" customFormat="1" ht="12.75">
      <c r="B753" s="64"/>
      <c r="C753" s="64"/>
      <c r="D753" s="64"/>
      <c r="E753" s="77"/>
      <c r="F753" s="50"/>
      <c r="G753" s="50"/>
      <c r="H753" s="65"/>
      <c r="I753" s="50"/>
      <c r="J753" s="54"/>
      <c r="K753" s="55"/>
    </row>
    <row r="754" spans="2:11" s="4" customFormat="1" ht="12.75">
      <c r="B754" s="64"/>
      <c r="C754" s="64"/>
      <c r="D754" s="64"/>
      <c r="E754" s="77"/>
      <c r="F754" s="50"/>
      <c r="G754" s="50"/>
      <c r="H754" s="65"/>
      <c r="I754" s="50"/>
      <c r="J754" s="54"/>
      <c r="K754" s="55"/>
    </row>
    <row r="755" spans="2:11" s="4" customFormat="1" ht="12.75">
      <c r="B755" s="64"/>
      <c r="C755" s="64"/>
      <c r="D755" s="64"/>
      <c r="E755" s="77"/>
      <c r="F755" s="50"/>
      <c r="G755" s="50"/>
      <c r="H755" s="65"/>
      <c r="I755" s="50"/>
      <c r="J755" s="54"/>
      <c r="K755" s="55"/>
    </row>
    <row r="756" spans="2:11" s="4" customFormat="1" ht="12.75">
      <c r="B756" s="64"/>
      <c r="C756" s="64"/>
      <c r="D756" s="64"/>
      <c r="E756" s="77"/>
      <c r="F756" s="50"/>
      <c r="G756" s="50"/>
      <c r="H756" s="65"/>
      <c r="I756" s="50"/>
      <c r="J756" s="54"/>
      <c r="K756" s="55"/>
    </row>
    <row r="757" spans="2:11" s="4" customFormat="1" ht="12.75">
      <c r="B757" s="64"/>
      <c r="C757" s="64"/>
      <c r="D757" s="64"/>
      <c r="E757" s="77"/>
      <c r="F757" s="50"/>
      <c r="G757" s="50"/>
      <c r="H757" s="65"/>
      <c r="I757" s="50"/>
      <c r="J757" s="54"/>
      <c r="K757" s="55"/>
    </row>
    <row r="758" spans="2:11" s="4" customFormat="1" ht="12.75">
      <c r="B758" s="64"/>
      <c r="C758" s="64"/>
      <c r="D758" s="64"/>
      <c r="E758" s="77"/>
      <c r="F758" s="50"/>
      <c r="G758" s="50"/>
      <c r="H758" s="65"/>
      <c r="I758" s="50"/>
      <c r="J758" s="54"/>
      <c r="K758" s="55"/>
    </row>
    <row r="759" spans="2:11" s="4" customFormat="1" ht="12.75">
      <c r="B759" s="64"/>
      <c r="C759" s="64"/>
      <c r="D759" s="64"/>
      <c r="E759" s="77"/>
      <c r="F759" s="50"/>
      <c r="G759" s="50"/>
      <c r="H759" s="65"/>
      <c r="I759" s="50"/>
      <c r="J759" s="54"/>
      <c r="K759" s="55"/>
    </row>
    <row r="760" spans="2:11" s="4" customFormat="1" ht="12.75">
      <c r="B760" s="64"/>
      <c r="C760" s="64"/>
      <c r="D760" s="64"/>
      <c r="E760" s="77"/>
      <c r="F760" s="50"/>
      <c r="G760" s="50"/>
      <c r="H760" s="65"/>
      <c r="I760" s="50"/>
      <c r="J760" s="54"/>
      <c r="K760" s="55"/>
    </row>
    <row r="761" spans="2:11" s="4" customFormat="1" ht="12.75">
      <c r="B761" s="64"/>
      <c r="C761" s="64"/>
      <c r="D761" s="64"/>
      <c r="E761" s="77"/>
      <c r="F761" s="50"/>
      <c r="G761" s="50"/>
      <c r="H761" s="65"/>
      <c r="I761" s="50"/>
      <c r="J761" s="54"/>
      <c r="K761" s="55"/>
    </row>
    <row r="762" spans="2:11" s="4" customFormat="1"/>
    <row r="763" spans="2:11" s="4" customFormat="1" ht="20.25">
      <c r="B763" s="66"/>
      <c r="C763" s="66"/>
      <c r="D763" s="66"/>
      <c r="E763" s="67"/>
      <c r="I763" s="57"/>
      <c r="J763" s="57"/>
      <c r="K763" s="57"/>
    </row>
    <row r="764" spans="2:11" s="4" customFormat="1" ht="20.25">
      <c r="B764" s="618"/>
      <c r="C764" s="618"/>
      <c r="D764" s="618"/>
      <c r="E764" s="618"/>
      <c r="F764" s="618"/>
      <c r="G764" s="57"/>
      <c r="H764" s="57"/>
      <c r="I764" s="57"/>
      <c r="J764" s="57"/>
      <c r="K764" s="57"/>
    </row>
    <row r="765" spans="2:11" s="4" customFormat="1" ht="12.75">
      <c r="B765" s="68"/>
      <c r="C765" s="68"/>
      <c r="D765" s="68"/>
      <c r="E765" s="68"/>
      <c r="F765" s="68"/>
      <c r="G765" s="68"/>
      <c r="H765" s="68"/>
      <c r="I765" s="69"/>
      <c r="J765" s="69"/>
      <c r="K765" s="615"/>
    </row>
    <row r="766" spans="2:11" s="4" customFormat="1" ht="12.75">
      <c r="B766" s="68"/>
      <c r="C766" s="68"/>
      <c r="D766" s="68"/>
      <c r="E766" s="68"/>
      <c r="F766" s="68"/>
      <c r="G766" s="68"/>
      <c r="H766" s="68"/>
      <c r="I766" s="69"/>
      <c r="J766" s="69"/>
      <c r="K766" s="615"/>
    </row>
    <row r="767" spans="2:11" s="4" customFormat="1" ht="12.75">
      <c r="B767" s="36"/>
      <c r="C767" s="36"/>
      <c r="D767" s="36"/>
      <c r="E767" s="36"/>
      <c r="F767" s="36"/>
      <c r="G767" s="36"/>
      <c r="H767" s="36"/>
      <c r="I767" s="36"/>
      <c r="J767" s="50"/>
      <c r="K767" s="36"/>
    </row>
    <row r="768" spans="2:11" s="4" customFormat="1" ht="12.75">
      <c r="B768" s="36"/>
      <c r="C768" s="36"/>
      <c r="D768" s="36"/>
      <c r="E768" s="36"/>
      <c r="F768" s="36"/>
      <c r="G768" s="36"/>
      <c r="H768" s="36"/>
      <c r="I768" s="58"/>
      <c r="J768" s="70"/>
      <c r="K768" s="50"/>
    </row>
    <row r="769" spans="2:11" s="4" customFormat="1" ht="12.75">
      <c r="B769" s="36"/>
      <c r="C769" s="36"/>
      <c r="D769" s="36"/>
      <c r="E769" s="36"/>
      <c r="F769" s="36"/>
      <c r="G769" s="36"/>
      <c r="H769" s="36"/>
      <c r="I769" s="59"/>
      <c r="J769" s="70"/>
      <c r="K769" s="50"/>
    </row>
    <row r="770" spans="2:11" s="4" customFormat="1" ht="12.75">
      <c r="B770" s="36"/>
      <c r="C770" s="36"/>
      <c r="D770" s="36"/>
      <c r="E770" s="36"/>
      <c r="F770" s="36"/>
      <c r="G770" s="36"/>
      <c r="H770" s="36"/>
      <c r="I770" s="60"/>
      <c r="J770" s="70"/>
      <c r="K770" s="50"/>
    </row>
    <row r="771" spans="2:11" s="4" customFormat="1" ht="12.75">
      <c r="B771" s="36"/>
      <c r="C771" s="36"/>
      <c r="D771" s="36"/>
      <c r="E771" s="36"/>
      <c r="F771" s="36"/>
      <c r="G771" s="36"/>
      <c r="H771" s="36"/>
      <c r="I771" s="60"/>
      <c r="J771" s="70"/>
      <c r="K771" s="50"/>
    </row>
    <row r="772" spans="2:11" s="4" customFormat="1" ht="12.75">
      <c r="B772" s="36"/>
      <c r="C772" s="36"/>
      <c r="D772" s="36"/>
      <c r="E772" s="36"/>
      <c r="F772" s="36"/>
      <c r="G772" s="36"/>
      <c r="H772" s="36"/>
      <c r="I772" s="60"/>
      <c r="J772" s="70"/>
      <c r="K772" s="50"/>
    </row>
    <row r="773" spans="2:11" s="4" customFormat="1" ht="12.75">
      <c r="B773" s="36"/>
      <c r="C773" s="36"/>
      <c r="D773" s="36"/>
      <c r="E773" s="36"/>
      <c r="F773" s="36"/>
      <c r="G773" s="36"/>
      <c r="H773" s="36"/>
      <c r="I773" s="60"/>
      <c r="J773" s="70"/>
      <c r="K773" s="50"/>
    </row>
    <row r="774" spans="2:11" s="4" customFormat="1" ht="12.75">
      <c r="B774" s="36"/>
      <c r="C774" s="36"/>
      <c r="D774" s="36"/>
      <c r="E774" s="36"/>
      <c r="F774" s="36"/>
      <c r="G774" s="36"/>
      <c r="H774" s="36"/>
      <c r="I774" s="36"/>
      <c r="J774" s="36"/>
      <c r="K774" s="36"/>
    </row>
    <row r="775" spans="2:11" s="4" customFormat="1" ht="12.75">
      <c r="B775" s="68"/>
      <c r="C775" s="68"/>
      <c r="D775" s="68"/>
      <c r="E775" s="68"/>
      <c r="F775" s="68"/>
      <c r="G775" s="68"/>
      <c r="H775" s="68"/>
      <c r="I775" s="622"/>
      <c r="J775" s="71"/>
      <c r="K775" s="71"/>
    </row>
    <row r="776" spans="2:11" s="4" customFormat="1" ht="12.75">
      <c r="B776" s="68"/>
      <c r="C776" s="68"/>
      <c r="D776" s="68"/>
      <c r="E776" s="68"/>
      <c r="F776" s="68"/>
      <c r="G776" s="68"/>
      <c r="H776" s="68"/>
      <c r="I776" s="622"/>
      <c r="J776" s="71"/>
      <c r="K776" s="71"/>
    </row>
    <row r="777" spans="2:11" s="4" customFormat="1" ht="12.75">
      <c r="B777" s="61"/>
      <c r="C777" s="61"/>
      <c r="D777" s="61"/>
      <c r="E777" s="36"/>
      <c r="F777" s="62"/>
      <c r="G777" s="62"/>
      <c r="H777" s="36"/>
      <c r="I777" s="62"/>
      <c r="J777" s="72"/>
      <c r="K777" s="50"/>
    </row>
    <row r="778" spans="2:11" s="4" customFormat="1" ht="12.75">
      <c r="B778" s="36"/>
      <c r="C778" s="36"/>
      <c r="D778" s="36"/>
      <c r="E778" s="36"/>
      <c r="F778" s="36"/>
      <c r="G778" s="36"/>
      <c r="H778" s="36"/>
      <c r="I778" s="50"/>
      <c r="J778" s="50"/>
      <c r="K778" s="70"/>
    </row>
    <row r="779" spans="2:11" s="4" customFormat="1" ht="12.75">
      <c r="B779" s="36"/>
      <c r="C779" s="36"/>
      <c r="D779" s="36"/>
      <c r="E779" s="36"/>
      <c r="F779" s="36"/>
      <c r="G779" s="36"/>
      <c r="H779" s="36"/>
      <c r="I779" s="70"/>
      <c r="J779" s="50"/>
      <c r="K779" s="50"/>
    </row>
    <row r="780" spans="2:11" s="4" customFormat="1" ht="12.75">
      <c r="B780" s="36"/>
      <c r="C780" s="36"/>
      <c r="D780" s="36"/>
      <c r="E780" s="36"/>
      <c r="F780" s="36"/>
      <c r="G780" s="36"/>
      <c r="H780" s="36"/>
      <c r="I780" s="47"/>
      <c r="J780" s="50"/>
      <c r="K780" s="50"/>
    </row>
    <row r="781" spans="2:11" s="4" customFormat="1" ht="12.75">
      <c r="B781" s="36"/>
      <c r="C781" s="36"/>
      <c r="D781" s="36"/>
      <c r="E781" s="36"/>
      <c r="F781" s="36"/>
      <c r="G781" s="36"/>
      <c r="H781" s="36"/>
      <c r="I781" s="73"/>
      <c r="J781" s="50"/>
      <c r="K781" s="50"/>
    </row>
    <row r="782" spans="2:11" s="4" customFormat="1" ht="12.75">
      <c r="B782" s="36"/>
      <c r="C782" s="36"/>
      <c r="D782" s="36"/>
      <c r="E782" s="36"/>
      <c r="F782" s="36"/>
      <c r="G782" s="36"/>
      <c r="H782" s="50"/>
      <c r="I782" s="36"/>
      <c r="J782" s="36"/>
      <c r="K782" s="36"/>
    </row>
    <row r="783" spans="2:11" s="4" customFormat="1" ht="12.75">
      <c r="B783" s="63"/>
      <c r="C783" s="63"/>
      <c r="D783" s="63"/>
      <c r="E783" s="36"/>
      <c r="F783" s="36"/>
      <c r="G783" s="36"/>
      <c r="H783" s="50"/>
      <c r="I783" s="36"/>
      <c r="J783" s="36"/>
      <c r="K783" s="36"/>
    </row>
    <row r="784" spans="2:11" s="4" customFormat="1" ht="12.75">
      <c r="B784" s="36"/>
      <c r="C784" s="36"/>
      <c r="D784" s="36"/>
      <c r="E784" s="74"/>
      <c r="F784" s="36"/>
      <c r="G784" s="36"/>
      <c r="H784" s="36"/>
      <c r="I784" s="36"/>
      <c r="J784" s="36"/>
      <c r="K784" s="36"/>
    </row>
    <row r="785" spans="2:11" s="4" customFormat="1" ht="12.75">
      <c r="B785" s="619"/>
      <c r="C785" s="128"/>
      <c r="D785" s="127"/>
      <c r="E785" s="75"/>
      <c r="F785" s="75"/>
      <c r="G785" s="619"/>
      <c r="H785" s="619"/>
      <c r="I785" s="619"/>
      <c r="J785" s="619"/>
      <c r="K785" s="619"/>
    </row>
    <row r="786" spans="2:11" s="4" customFormat="1" ht="12.75">
      <c r="B786" s="619"/>
      <c r="C786" s="128"/>
      <c r="D786" s="127"/>
      <c r="E786" s="75"/>
      <c r="F786" s="75"/>
      <c r="G786" s="75"/>
      <c r="H786" s="75"/>
      <c r="I786" s="620"/>
      <c r="J786" s="620"/>
      <c r="K786" s="620"/>
    </row>
    <row r="787" spans="2:11" s="4" customFormat="1" ht="12.75">
      <c r="B787" s="64"/>
      <c r="C787" s="64"/>
      <c r="D787" s="64"/>
      <c r="E787" s="76"/>
      <c r="F787" s="50"/>
      <c r="G787" s="50"/>
      <c r="H787" s="65"/>
      <c r="I787" s="50"/>
      <c r="J787" s="50"/>
      <c r="K787" s="55"/>
    </row>
    <row r="788" spans="2:11" s="4" customFormat="1" ht="12.75">
      <c r="B788" s="64"/>
      <c r="C788" s="64"/>
      <c r="D788" s="64"/>
      <c r="E788" s="76"/>
      <c r="F788" s="50"/>
      <c r="G788" s="50"/>
      <c r="H788" s="65"/>
      <c r="I788" s="50"/>
      <c r="J788" s="54"/>
      <c r="K788" s="55"/>
    </row>
    <row r="789" spans="2:11" s="4" customFormat="1" ht="12.75">
      <c r="B789" s="64"/>
      <c r="C789" s="64"/>
      <c r="D789" s="64"/>
      <c r="E789" s="76"/>
      <c r="F789" s="50"/>
      <c r="G789" s="50"/>
      <c r="H789" s="65"/>
      <c r="I789" s="50"/>
      <c r="J789" s="54"/>
      <c r="K789" s="36"/>
    </row>
    <row r="790" spans="2:11" s="4" customFormat="1" ht="12.75">
      <c r="B790" s="64"/>
      <c r="C790" s="64"/>
      <c r="D790" s="64"/>
      <c r="E790" s="76"/>
      <c r="F790" s="50"/>
      <c r="G790" s="50"/>
      <c r="H790" s="65"/>
      <c r="I790" s="50"/>
      <c r="J790" s="54"/>
      <c r="K790" s="55"/>
    </row>
    <row r="791" spans="2:11" s="4" customFormat="1" ht="12.75">
      <c r="B791" s="64"/>
      <c r="C791" s="64"/>
      <c r="D791" s="64"/>
      <c r="E791" s="77"/>
      <c r="F791" s="50"/>
      <c r="G791" s="50"/>
      <c r="H791" s="65"/>
      <c r="I791" s="50"/>
      <c r="J791" s="54"/>
      <c r="K791" s="55"/>
    </row>
    <row r="792" spans="2:11" s="4" customFormat="1" ht="12.75">
      <c r="B792" s="64"/>
      <c r="C792" s="64"/>
      <c r="D792" s="64"/>
      <c r="E792" s="77"/>
      <c r="F792" s="50"/>
      <c r="G792" s="50"/>
      <c r="H792" s="65"/>
      <c r="I792" s="50"/>
      <c r="J792" s="54"/>
      <c r="K792" s="55"/>
    </row>
    <row r="793" spans="2:11" s="4" customFormat="1" ht="12.75">
      <c r="B793" s="64"/>
      <c r="C793" s="64"/>
      <c r="D793" s="64"/>
      <c r="E793" s="77"/>
      <c r="F793" s="50"/>
      <c r="G793" s="50"/>
      <c r="H793" s="65"/>
      <c r="I793" s="50"/>
      <c r="J793" s="54"/>
      <c r="K793" s="55"/>
    </row>
    <row r="794" spans="2:11" s="4" customFormat="1" ht="12.75">
      <c r="B794" s="64"/>
      <c r="C794" s="64"/>
      <c r="D794" s="64"/>
      <c r="E794" s="77"/>
      <c r="F794" s="50"/>
      <c r="G794" s="50"/>
      <c r="H794" s="65"/>
      <c r="I794" s="50"/>
      <c r="J794" s="54"/>
      <c r="K794" s="55"/>
    </row>
    <row r="795" spans="2:11" s="4" customFormat="1" ht="12.75">
      <c r="B795" s="64"/>
      <c r="C795" s="64"/>
      <c r="D795" s="64"/>
      <c r="E795" s="77"/>
      <c r="F795" s="50"/>
      <c r="G795" s="50"/>
      <c r="H795" s="65"/>
      <c r="I795" s="50"/>
      <c r="J795" s="54"/>
      <c r="K795" s="55"/>
    </row>
    <row r="796" spans="2:11" s="4" customFormat="1" ht="12.75">
      <c r="B796" s="64"/>
      <c r="C796" s="64"/>
      <c r="D796" s="64"/>
      <c r="E796" s="77"/>
      <c r="F796" s="50"/>
      <c r="G796" s="50"/>
      <c r="H796" s="65"/>
      <c r="I796" s="50"/>
      <c r="J796" s="54"/>
      <c r="K796" s="55"/>
    </row>
    <row r="797" spans="2:11" s="4" customFormat="1" ht="12.75">
      <c r="B797" s="64"/>
      <c r="C797" s="64"/>
      <c r="D797" s="64"/>
      <c r="E797" s="77"/>
      <c r="F797" s="50"/>
      <c r="G797" s="50"/>
      <c r="H797" s="65"/>
      <c r="I797" s="50"/>
      <c r="J797" s="54"/>
      <c r="K797" s="55"/>
    </row>
    <row r="798" spans="2:11" s="4" customFormat="1" ht="12.75">
      <c r="B798" s="64"/>
      <c r="C798" s="64"/>
      <c r="D798" s="64"/>
      <c r="E798" s="77"/>
      <c r="F798" s="50"/>
      <c r="G798" s="50"/>
      <c r="H798" s="65"/>
      <c r="I798" s="50"/>
      <c r="J798" s="54"/>
      <c r="K798" s="55"/>
    </row>
    <row r="799" spans="2:11" s="4" customFormat="1" ht="12.75">
      <c r="B799" s="64"/>
      <c r="C799" s="64"/>
      <c r="D799" s="64"/>
      <c r="E799" s="77"/>
      <c r="F799" s="50"/>
      <c r="G799" s="50"/>
      <c r="H799" s="65"/>
      <c r="I799" s="50"/>
      <c r="J799" s="54"/>
      <c r="K799" s="55"/>
    </row>
    <row r="800" spans="2:11" s="4" customFormat="1" ht="12.75">
      <c r="B800" s="64"/>
      <c r="C800" s="64"/>
      <c r="D800" s="64"/>
      <c r="E800" s="77"/>
      <c r="F800" s="50"/>
      <c r="G800" s="50"/>
      <c r="H800" s="65"/>
      <c r="I800" s="50"/>
      <c r="J800" s="54"/>
      <c r="K800" s="55"/>
    </row>
    <row r="801" spans="2:11" s="4" customFormat="1" ht="12.75">
      <c r="B801" s="64"/>
      <c r="C801" s="64"/>
      <c r="D801" s="64"/>
      <c r="E801" s="77"/>
      <c r="F801" s="50"/>
      <c r="G801" s="50"/>
      <c r="H801" s="65"/>
      <c r="I801" s="50"/>
      <c r="J801" s="54"/>
      <c r="K801" s="55"/>
    </row>
    <row r="802" spans="2:11" s="4" customFormat="1" ht="12.75">
      <c r="B802" s="64"/>
      <c r="C802" s="64"/>
      <c r="D802" s="64"/>
      <c r="E802" s="77"/>
      <c r="F802" s="50"/>
      <c r="G802" s="50"/>
      <c r="H802" s="65"/>
      <c r="I802" s="50"/>
      <c r="J802" s="54"/>
      <c r="K802" s="55"/>
    </row>
    <row r="803" spans="2:11" s="4" customFormat="1" ht="12.75">
      <c r="B803" s="64"/>
      <c r="C803" s="64"/>
      <c r="D803" s="64"/>
      <c r="E803" s="77"/>
      <c r="F803" s="50"/>
      <c r="G803" s="50"/>
      <c r="H803" s="65"/>
      <c r="I803" s="50"/>
      <c r="J803" s="54"/>
      <c r="K803" s="55"/>
    </row>
    <row r="804" spans="2:11" s="4" customFormat="1" ht="12.75">
      <c r="B804" s="64"/>
      <c r="C804" s="64"/>
      <c r="D804" s="64"/>
      <c r="E804" s="77"/>
      <c r="F804" s="50"/>
      <c r="G804" s="50"/>
      <c r="H804" s="65"/>
      <c r="I804" s="50"/>
      <c r="J804" s="54"/>
      <c r="K804" s="55"/>
    </row>
    <row r="805" spans="2:11" s="4" customFormat="1" ht="12.75">
      <c r="B805" s="64"/>
      <c r="C805" s="64"/>
      <c r="D805" s="64"/>
      <c r="E805" s="77"/>
      <c r="F805" s="50"/>
      <c r="G805" s="50"/>
      <c r="H805" s="65"/>
      <c r="I805" s="50"/>
      <c r="J805" s="54"/>
      <c r="K805" s="55"/>
    </row>
    <row r="806" spans="2:11" s="4" customFormat="1" ht="12.75">
      <c r="B806" s="64"/>
      <c r="C806" s="64"/>
      <c r="D806" s="64"/>
      <c r="E806" s="77"/>
      <c r="F806" s="50"/>
      <c r="G806" s="50"/>
      <c r="H806" s="65"/>
      <c r="I806" s="50"/>
      <c r="J806" s="54"/>
      <c r="K806" s="55"/>
    </row>
    <row r="807" spans="2:11" s="4" customFormat="1" ht="12.75">
      <c r="B807" s="64"/>
      <c r="C807" s="64"/>
      <c r="D807" s="64"/>
      <c r="E807" s="77"/>
      <c r="F807" s="50"/>
      <c r="G807" s="50"/>
      <c r="H807" s="65"/>
      <c r="I807" s="50"/>
      <c r="J807" s="54"/>
      <c r="K807" s="55"/>
    </row>
    <row r="808" spans="2:11" s="4" customFormat="1" ht="12.75">
      <c r="B808" s="64"/>
      <c r="C808" s="64"/>
      <c r="D808" s="64"/>
      <c r="E808" s="77"/>
      <c r="F808" s="50"/>
      <c r="G808" s="50"/>
      <c r="H808" s="65"/>
      <c r="I808" s="50"/>
      <c r="J808" s="54"/>
      <c r="K808" s="55"/>
    </row>
    <row r="809" spans="2:11" s="4" customFormat="1" ht="12.75">
      <c r="B809" s="64"/>
      <c r="C809" s="64"/>
      <c r="D809" s="64"/>
      <c r="E809" s="77"/>
      <c r="F809" s="50"/>
      <c r="G809" s="50"/>
      <c r="H809" s="65"/>
      <c r="I809" s="50"/>
      <c r="J809" s="54"/>
      <c r="K809" s="55"/>
    </row>
    <row r="810" spans="2:11" s="4" customFormat="1" ht="12.75">
      <c r="B810" s="64"/>
      <c r="C810" s="64"/>
      <c r="D810" s="64"/>
      <c r="E810" s="77"/>
      <c r="F810" s="50"/>
      <c r="G810" s="50"/>
      <c r="H810" s="65"/>
      <c r="I810" s="50"/>
      <c r="J810" s="54"/>
      <c r="K810" s="55"/>
    </row>
    <row r="811" spans="2:11" s="4" customFormat="1" ht="12.75">
      <c r="B811" s="64"/>
      <c r="C811" s="64"/>
      <c r="D811" s="64"/>
      <c r="E811" s="77"/>
      <c r="F811" s="50"/>
      <c r="G811" s="50"/>
      <c r="H811" s="65"/>
      <c r="I811" s="50"/>
      <c r="J811" s="54"/>
      <c r="K811" s="55"/>
    </row>
    <row r="812" spans="2:11" s="4" customFormat="1"/>
    <row r="813" spans="2:11" s="4" customFormat="1"/>
    <row r="814" spans="2:11" s="4" customFormat="1"/>
    <row r="815" spans="2:11" s="4" customFormat="1"/>
    <row r="816" spans="2:11" s="4" customFormat="1"/>
    <row r="817" s="4" customFormat="1"/>
    <row r="818" s="4" customFormat="1"/>
    <row r="819" s="4" customFormat="1"/>
    <row r="820" s="4" customFormat="1"/>
    <row r="821" s="4" customFormat="1"/>
    <row r="822" s="4" customFormat="1"/>
    <row r="823" s="4" customFormat="1"/>
    <row r="824" s="4" customFormat="1"/>
    <row r="825" s="4" customFormat="1"/>
    <row r="826" s="4" customFormat="1"/>
    <row r="827" s="4" customFormat="1"/>
    <row r="828" s="4" customFormat="1"/>
    <row r="829" s="4" customFormat="1"/>
    <row r="830" s="4" customFormat="1"/>
    <row r="831" s="4" customFormat="1"/>
    <row r="832" s="4" customFormat="1"/>
    <row r="833" s="4" customFormat="1"/>
    <row r="834" s="4" customFormat="1"/>
    <row r="835" s="4" customFormat="1"/>
    <row r="836" s="4" customFormat="1"/>
    <row r="837" s="4" customFormat="1"/>
    <row r="838" s="4" customFormat="1"/>
    <row r="839" s="4" customFormat="1"/>
    <row r="840" s="4" customFormat="1"/>
    <row r="841" s="4" customFormat="1"/>
    <row r="842" s="4" customFormat="1"/>
    <row r="843" s="4" customFormat="1"/>
    <row r="844" s="4" customFormat="1"/>
    <row r="845" s="4" customFormat="1"/>
    <row r="846" s="4" customFormat="1"/>
    <row r="847" s="4" customFormat="1"/>
    <row r="848" s="4" customFormat="1"/>
    <row r="849" s="4" customFormat="1"/>
    <row r="850" s="4" customFormat="1"/>
    <row r="851" s="4" customFormat="1"/>
    <row r="852" s="4" customFormat="1"/>
    <row r="853" s="4" customFormat="1"/>
    <row r="854" s="4" customFormat="1"/>
    <row r="855" s="4" customFormat="1"/>
    <row r="856" s="4" customFormat="1"/>
  </sheetData>
  <dataConsolidate/>
  <mergeCells count="94">
    <mergeCell ref="D209:D220"/>
    <mergeCell ref="K665:K666"/>
    <mergeCell ref="K765:K766"/>
    <mergeCell ref="I775:I776"/>
    <mergeCell ref="K685:K686"/>
    <mergeCell ref="I573:I574"/>
    <mergeCell ref="G583:H583"/>
    <mergeCell ref="I583:I584"/>
    <mergeCell ref="B785:B786"/>
    <mergeCell ref="I725:I726"/>
    <mergeCell ref="B613:F613"/>
    <mergeCell ref="B664:F664"/>
    <mergeCell ref="G785:H785"/>
    <mergeCell ref="I785:I786"/>
    <mergeCell ref="G634:H634"/>
    <mergeCell ref="I634:I635"/>
    <mergeCell ref="I624:I625"/>
    <mergeCell ref="B735:B736"/>
    <mergeCell ref="G735:H735"/>
    <mergeCell ref="I735:I736"/>
    <mergeCell ref="B764:F764"/>
    <mergeCell ref="K785:K786"/>
    <mergeCell ref="K715:K716"/>
    <mergeCell ref="K735:K736"/>
    <mergeCell ref="J785:J786"/>
    <mergeCell ref="G685:H685"/>
    <mergeCell ref="I685:I686"/>
    <mergeCell ref="J735:J736"/>
    <mergeCell ref="B532:B533"/>
    <mergeCell ref="B714:F714"/>
    <mergeCell ref="J532:J533"/>
    <mergeCell ref="K614:K615"/>
    <mergeCell ref="J583:J584"/>
    <mergeCell ref="K583:K584"/>
    <mergeCell ref="K634:K635"/>
    <mergeCell ref="K563:K564"/>
    <mergeCell ref="J634:J635"/>
    <mergeCell ref="I675:I676"/>
    <mergeCell ref="B562:F562"/>
    <mergeCell ref="B685:B686"/>
    <mergeCell ref="B634:B635"/>
    <mergeCell ref="B583:B584"/>
    <mergeCell ref="J685:J686"/>
    <mergeCell ref="G532:H532"/>
    <mergeCell ref="K130:L130"/>
    <mergeCell ref="K532:K533"/>
    <mergeCell ref="I522:I523"/>
    <mergeCell ref="K432:K433"/>
    <mergeCell ref="I432:I433"/>
    <mergeCell ref="J432:J433"/>
    <mergeCell ref="K462:K463"/>
    <mergeCell ref="I472:I473"/>
    <mergeCell ref="K512:K513"/>
    <mergeCell ref="K482:K483"/>
    <mergeCell ref="I370:I371"/>
    <mergeCell ref="J380:J381"/>
    <mergeCell ref="I532:I533"/>
    <mergeCell ref="E2:O2"/>
    <mergeCell ref="F31:H31"/>
    <mergeCell ref="E227:F227"/>
    <mergeCell ref="E102:J102"/>
    <mergeCell ref="E103:E106"/>
    <mergeCell ref="F103:F106"/>
    <mergeCell ref="G103:I103"/>
    <mergeCell ref="G104:I104"/>
    <mergeCell ref="I105:I106"/>
    <mergeCell ref="H61:J61"/>
    <mergeCell ref="G51:H51"/>
    <mergeCell ref="E50:H50"/>
    <mergeCell ref="K144:L144"/>
    <mergeCell ref="K157:L157"/>
    <mergeCell ref="E51:F51"/>
    <mergeCell ref="E61:G61"/>
    <mergeCell ref="B380:B381"/>
    <mergeCell ref="B432:B433"/>
    <mergeCell ref="G432:H432"/>
    <mergeCell ref="B411:F411"/>
    <mergeCell ref="K380:K381"/>
    <mergeCell ref="D90:D93"/>
    <mergeCell ref="K61:M61"/>
    <mergeCell ref="K360:K361"/>
    <mergeCell ref="I51:J51"/>
    <mergeCell ref="B511:F511"/>
    <mergeCell ref="B482:B483"/>
    <mergeCell ref="G482:H482"/>
    <mergeCell ref="I482:I483"/>
    <mergeCell ref="J482:J483"/>
    <mergeCell ref="B359:F359"/>
    <mergeCell ref="D119:D123"/>
    <mergeCell ref="I380:I381"/>
    <mergeCell ref="K412:K413"/>
    <mergeCell ref="I422:I423"/>
    <mergeCell ref="G380:H380"/>
    <mergeCell ref="B461:F461"/>
  </mergeCells>
  <phoneticPr fontId="7" type="noConversion"/>
  <conditionalFormatting sqref="A184:A185">
    <cfRule type="duplicateValues" dxfId="3" priority="21"/>
  </conditionalFormatting>
  <conditionalFormatting sqref="G53:J57 G59:J59 H58:J58">
    <cfRule type="expression" dxfId="2" priority="4">
      <formula>IF(G53=0,TRUE,FALSE)</formula>
    </cfRule>
  </conditionalFormatting>
  <conditionalFormatting sqref="E53:F59">
    <cfRule type="expression" dxfId="1" priority="2">
      <formula>IF(E53=0,TRUE,FALSE)</formula>
    </cfRule>
  </conditionalFormatting>
  <conditionalFormatting sqref="G58">
    <cfRule type="expression" dxfId="0" priority="1">
      <formula>IF(G58=0,TRUE,FALSE)</formula>
    </cfRule>
  </conditionalFormatting>
  <printOptions horizontalCentered="1"/>
  <pageMargins left="0.15104166666666666" right="0.74803149606299213" top="0.98425196850393704" bottom="0.98425196850393704" header="0.51181102362204722" footer="0.51181102362204722"/>
  <pageSetup scale="1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7">
    <tabColor rgb="FF002060"/>
  </sheetPr>
  <dimension ref="A1:V138"/>
  <sheetViews>
    <sheetView zoomScaleNormal="100" workbookViewId="0"/>
  </sheetViews>
  <sheetFormatPr defaultColWidth="9.140625" defaultRowHeight="12"/>
  <cols>
    <col min="1" max="1" width="15.140625" style="1" bestFit="1" customWidth="1"/>
    <col min="2" max="2" width="59.7109375" style="1" customWidth="1"/>
    <col min="3" max="3" width="14.7109375" style="1" customWidth="1"/>
    <col min="4" max="4" width="14" style="1" customWidth="1"/>
    <col min="5" max="5" width="14.140625" style="1" bestFit="1" customWidth="1"/>
    <col min="6" max="6" width="13.42578125" style="1" customWidth="1"/>
    <col min="7" max="7" width="12" style="1" customWidth="1"/>
    <col min="8" max="10" width="10.7109375" style="1" customWidth="1"/>
    <col min="11" max="11" width="12.7109375" style="1" customWidth="1"/>
    <col min="12" max="12" width="10.7109375" style="1" customWidth="1"/>
    <col min="13" max="13" width="12.7109375" style="1" customWidth="1"/>
    <col min="14" max="14" width="10.7109375" style="1" customWidth="1"/>
    <col min="15" max="16" width="11.5703125" style="1" customWidth="1"/>
    <col min="17" max="17" width="10.7109375" style="1" customWidth="1"/>
    <col min="18" max="18" width="11" style="1" bestFit="1" customWidth="1"/>
    <col min="19" max="19" width="12.7109375" style="1" customWidth="1"/>
    <col min="20" max="20" width="10.7109375" style="1" customWidth="1"/>
    <col min="21" max="21" width="10.140625" style="1" bestFit="1" customWidth="1"/>
    <col min="22" max="22" width="9.28515625" style="1" bestFit="1" customWidth="1"/>
    <col min="23" max="16384" width="9.140625" style="1"/>
  </cols>
  <sheetData>
    <row r="1" spans="1:22">
      <c r="A1" s="269" t="s">
        <v>413</v>
      </c>
      <c r="B1" s="512" t="s">
        <v>413</v>
      </c>
      <c r="C1" s="513" t="s">
        <v>359</v>
      </c>
      <c r="D1" s="513">
        <v>2021</v>
      </c>
      <c r="E1" s="514">
        <f>D1+1</f>
        <v>2022</v>
      </c>
      <c r="F1" s="514">
        <f>E1+1</f>
        <v>2023</v>
      </c>
      <c r="G1" s="514">
        <f t="shared" ref="G1" si="0">F1+1</f>
        <v>2024</v>
      </c>
      <c r="H1" s="514">
        <f t="shared" ref="H1" si="1">G1+1</f>
        <v>2025</v>
      </c>
      <c r="I1" s="514">
        <f t="shared" ref="I1" si="2">H1+1</f>
        <v>2026</v>
      </c>
      <c r="J1" s="514">
        <f t="shared" ref="J1" si="3">I1+1</f>
        <v>2027</v>
      </c>
      <c r="K1" s="514">
        <f t="shared" ref="K1" si="4">J1+1</f>
        <v>2028</v>
      </c>
      <c r="L1" s="514">
        <f t="shared" ref="L1" si="5">K1+1</f>
        <v>2029</v>
      </c>
      <c r="M1" s="514">
        <f t="shared" ref="M1" si="6">L1+1</f>
        <v>2030</v>
      </c>
      <c r="N1" s="514">
        <f t="shared" ref="N1" si="7">M1+1</f>
        <v>2031</v>
      </c>
      <c r="O1" s="514">
        <f t="shared" ref="O1" si="8">N1+1</f>
        <v>2032</v>
      </c>
      <c r="P1" s="514">
        <f t="shared" ref="P1" si="9">O1+1</f>
        <v>2033</v>
      </c>
      <c r="Q1" s="514">
        <f t="shared" ref="Q1" si="10">P1+1</f>
        <v>2034</v>
      </c>
      <c r="R1" s="514">
        <f t="shared" ref="R1" si="11">Q1+1</f>
        <v>2035</v>
      </c>
      <c r="S1" s="514">
        <f t="shared" ref="S1" si="12">R1+1</f>
        <v>2036</v>
      </c>
      <c r="T1" s="394"/>
      <c r="U1" s="394"/>
      <c r="V1" s="4"/>
    </row>
    <row r="2" spans="1:22" s="557" customFormat="1">
      <c r="B2" s="608" t="s">
        <v>356</v>
      </c>
      <c r="E2" s="388"/>
      <c r="F2" s="388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558"/>
      <c r="U2" s="558"/>
      <c r="V2" s="558"/>
    </row>
    <row r="3" spans="1:22" s="557" customFormat="1">
      <c r="A3" s="559"/>
      <c r="B3" s="609" t="s">
        <v>480</v>
      </c>
      <c r="C3" s="607" t="s">
        <v>479</v>
      </c>
      <c r="D3" s="560">
        <v>0</v>
      </c>
      <c r="E3" s="560">
        <v>0</v>
      </c>
      <c r="F3" s="560">
        <v>0</v>
      </c>
      <c r="G3" s="560">
        <v>0</v>
      </c>
      <c r="H3" s="560">
        <v>0</v>
      </c>
      <c r="I3" s="560">
        <v>0</v>
      </c>
      <c r="J3" s="560">
        <v>24</v>
      </c>
      <c r="K3" s="560">
        <v>0</v>
      </c>
      <c r="L3" s="560">
        <v>0</v>
      </c>
      <c r="M3" s="560">
        <v>0</v>
      </c>
      <c r="N3" s="560">
        <v>0</v>
      </c>
      <c r="O3" s="560">
        <v>0</v>
      </c>
      <c r="P3" s="560">
        <v>24</v>
      </c>
      <c r="Q3" s="560">
        <v>0</v>
      </c>
      <c r="R3" s="560">
        <v>0</v>
      </c>
      <c r="S3" s="560">
        <v>0</v>
      </c>
      <c r="T3" s="561"/>
      <c r="U3" s="561"/>
      <c r="V3" s="558"/>
    </row>
    <row r="4" spans="1:22" s="557" customFormat="1">
      <c r="A4" s="559"/>
      <c r="B4" s="609" t="s">
        <v>510</v>
      </c>
      <c r="C4" s="607" t="s">
        <v>511</v>
      </c>
      <c r="D4" s="560">
        <v>0</v>
      </c>
      <c r="E4" s="560">
        <v>0</v>
      </c>
      <c r="F4" s="560">
        <v>0</v>
      </c>
      <c r="G4" s="560">
        <v>0</v>
      </c>
      <c r="H4" s="560">
        <v>0</v>
      </c>
      <c r="I4" s="560">
        <v>0</v>
      </c>
      <c r="J4" s="560">
        <v>19</v>
      </c>
      <c r="K4" s="560">
        <v>0</v>
      </c>
      <c r="L4" s="560">
        <v>0</v>
      </c>
      <c r="M4" s="560">
        <v>0</v>
      </c>
      <c r="N4" s="560">
        <v>0</v>
      </c>
      <c r="O4" s="560">
        <v>0</v>
      </c>
      <c r="P4" s="560">
        <v>19</v>
      </c>
      <c r="Q4" s="560">
        <v>0</v>
      </c>
      <c r="R4" s="560">
        <v>0</v>
      </c>
      <c r="S4" s="560">
        <v>0</v>
      </c>
      <c r="T4" s="561"/>
      <c r="U4" s="561"/>
      <c r="V4" s="558"/>
    </row>
    <row r="5" spans="1:22" s="557" customFormat="1">
      <c r="B5" s="562" t="s">
        <v>341</v>
      </c>
      <c r="C5" s="563" t="s">
        <v>2</v>
      </c>
      <c r="D5" s="563">
        <f t="shared" ref="D5:S5" si="13">SUBTOTAL(9,D3:D4)</f>
        <v>0</v>
      </c>
      <c r="E5" s="563">
        <f t="shared" si="13"/>
        <v>0</v>
      </c>
      <c r="F5" s="563">
        <f t="shared" si="13"/>
        <v>0</v>
      </c>
      <c r="G5" s="563">
        <f t="shared" si="13"/>
        <v>0</v>
      </c>
      <c r="H5" s="563">
        <f t="shared" si="13"/>
        <v>0</v>
      </c>
      <c r="I5" s="563">
        <f t="shared" si="13"/>
        <v>0</v>
      </c>
      <c r="J5" s="563">
        <f t="shared" si="13"/>
        <v>43</v>
      </c>
      <c r="K5" s="563">
        <f t="shared" si="13"/>
        <v>0</v>
      </c>
      <c r="L5" s="563">
        <f t="shared" si="13"/>
        <v>0</v>
      </c>
      <c r="M5" s="563">
        <f t="shared" si="13"/>
        <v>0</v>
      </c>
      <c r="N5" s="563">
        <f t="shared" si="13"/>
        <v>0</v>
      </c>
      <c r="O5" s="563">
        <f t="shared" si="13"/>
        <v>0</v>
      </c>
      <c r="P5" s="563">
        <f t="shared" si="13"/>
        <v>43</v>
      </c>
      <c r="Q5" s="563">
        <f t="shared" si="13"/>
        <v>0</v>
      </c>
      <c r="R5" s="563">
        <f t="shared" si="13"/>
        <v>0</v>
      </c>
      <c r="S5" s="563">
        <f t="shared" si="13"/>
        <v>0</v>
      </c>
      <c r="T5" s="564"/>
      <c r="U5" s="564"/>
      <c r="V5" s="565"/>
    </row>
    <row r="6" spans="1:22" s="557" customFormat="1">
      <c r="E6" s="566"/>
      <c r="F6" s="566"/>
      <c r="G6" s="566"/>
      <c r="H6" s="566"/>
      <c r="I6" s="566"/>
      <c r="J6" s="566"/>
      <c r="K6" s="566"/>
      <c r="L6" s="566"/>
      <c r="M6" s="566"/>
      <c r="N6" s="566"/>
      <c r="O6" s="566"/>
      <c r="P6" s="45"/>
      <c r="Q6" s="45"/>
      <c r="R6" s="566"/>
    </row>
    <row r="7" spans="1:22">
      <c r="A7" s="269" t="s">
        <v>413</v>
      </c>
      <c r="B7" s="512" t="s">
        <v>413</v>
      </c>
      <c r="C7" s="513" t="s">
        <v>359</v>
      </c>
      <c r="D7" s="513" t="s">
        <v>358</v>
      </c>
      <c r="E7" s="514">
        <f t="shared" ref="E7:T7" si="14">D1</f>
        <v>2021</v>
      </c>
      <c r="F7" s="514">
        <f t="shared" si="14"/>
        <v>2022</v>
      </c>
      <c r="G7" s="514">
        <f t="shared" si="14"/>
        <v>2023</v>
      </c>
      <c r="H7" s="514">
        <f t="shared" si="14"/>
        <v>2024</v>
      </c>
      <c r="I7" s="514">
        <f t="shared" si="14"/>
        <v>2025</v>
      </c>
      <c r="J7" s="514">
        <f t="shared" si="14"/>
        <v>2026</v>
      </c>
      <c r="K7" s="514">
        <f t="shared" si="14"/>
        <v>2027</v>
      </c>
      <c r="L7" s="514">
        <f t="shared" si="14"/>
        <v>2028</v>
      </c>
      <c r="M7" s="514">
        <f t="shared" si="14"/>
        <v>2029</v>
      </c>
      <c r="N7" s="514">
        <f t="shared" si="14"/>
        <v>2030</v>
      </c>
      <c r="O7" s="514">
        <f t="shared" si="14"/>
        <v>2031</v>
      </c>
      <c r="P7" s="514">
        <f t="shared" si="14"/>
        <v>2032</v>
      </c>
      <c r="Q7" s="514">
        <f t="shared" si="14"/>
        <v>2033</v>
      </c>
      <c r="R7" s="514">
        <f t="shared" si="14"/>
        <v>2034</v>
      </c>
      <c r="S7" s="514">
        <f t="shared" si="14"/>
        <v>2035</v>
      </c>
      <c r="T7" s="514">
        <f t="shared" si="14"/>
        <v>2036</v>
      </c>
      <c r="U7" s="12"/>
      <c r="V7" s="12"/>
    </row>
    <row r="8" spans="1:22" s="557" customFormat="1">
      <c r="A8" s="567"/>
      <c r="B8" s="608" t="s">
        <v>357</v>
      </c>
      <c r="C8" s="387"/>
      <c r="D8" s="388"/>
      <c r="E8" s="568"/>
      <c r="F8" s="568"/>
      <c r="G8" s="568"/>
      <c r="H8" s="568"/>
      <c r="I8" s="568"/>
      <c r="J8" s="568"/>
      <c r="K8" s="568"/>
      <c r="L8" s="568"/>
      <c r="M8" s="568"/>
      <c r="N8" s="568"/>
      <c r="O8" s="568"/>
      <c r="P8" s="569"/>
      <c r="Q8" s="569"/>
      <c r="R8" s="568"/>
      <c r="S8" s="567"/>
      <c r="T8" s="567"/>
      <c r="U8" s="570"/>
      <c r="V8" s="570"/>
    </row>
    <row r="9" spans="1:22" s="557" customFormat="1">
      <c r="A9" s="559"/>
      <c r="B9" s="609" t="s">
        <v>480</v>
      </c>
      <c r="C9" s="607" t="s">
        <v>479</v>
      </c>
      <c r="D9" s="390">
        <f>Założenia!E199</f>
        <v>250000</v>
      </c>
      <c r="E9" s="386">
        <f t="shared" ref="E9:T9" si="15">$D9*D3</f>
        <v>0</v>
      </c>
      <c r="F9" s="386">
        <f t="shared" si="15"/>
        <v>0</v>
      </c>
      <c r="G9" s="386">
        <f t="shared" si="15"/>
        <v>0</v>
      </c>
      <c r="H9" s="386">
        <f t="shared" si="15"/>
        <v>0</v>
      </c>
      <c r="I9" s="386">
        <f t="shared" si="15"/>
        <v>0</v>
      </c>
      <c r="J9" s="386">
        <f t="shared" si="15"/>
        <v>0</v>
      </c>
      <c r="K9" s="386">
        <f t="shared" si="15"/>
        <v>6000000</v>
      </c>
      <c r="L9" s="386">
        <f t="shared" si="15"/>
        <v>0</v>
      </c>
      <c r="M9" s="386">
        <f t="shared" si="15"/>
        <v>0</v>
      </c>
      <c r="N9" s="386">
        <f t="shared" si="15"/>
        <v>0</v>
      </c>
      <c r="O9" s="386">
        <f t="shared" si="15"/>
        <v>0</v>
      </c>
      <c r="P9" s="386">
        <f t="shared" si="15"/>
        <v>0</v>
      </c>
      <c r="Q9" s="386">
        <f t="shared" si="15"/>
        <v>6000000</v>
      </c>
      <c r="R9" s="386">
        <f t="shared" si="15"/>
        <v>0</v>
      </c>
      <c r="S9" s="386">
        <f t="shared" si="15"/>
        <v>0</v>
      </c>
      <c r="T9" s="386">
        <f t="shared" si="15"/>
        <v>0</v>
      </c>
      <c r="U9" s="392"/>
      <c r="V9" s="392"/>
    </row>
    <row r="10" spans="1:22" s="557" customFormat="1">
      <c r="A10" s="559"/>
      <c r="B10" s="609" t="s">
        <v>510</v>
      </c>
      <c r="C10" s="607" t="s">
        <v>511</v>
      </c>
      <c r="D10" s="390">
        <f>Założenia!E200</f>
        <v>300000</v>
      </c>
      <c r="E10" s="386">
        <f t="shared" ref="E10:T10" si="16">$D10*D4</f>
        <v>0</v>
      </c>
      <c r="F10" s="386">
        <f t="shared" si="16"/>
        <v>0</v>
      </c>
      <c r="G10" s="386">
        <f t="shared" si="16"/>
        <v>0</v>
      </c>
      <c r="H10" s="386">
        <f t="shared" si="16"/>
        <v>0</v>
      </c>
      <c r="I10" s="386">
        <f t="shared" si="16"/>
        <v>0</v>
      </c>
      <c r="J10" s="386">
        <f t="shared" si="16"/>
        <v>0</v>
      </c>
      <c r="K10" s="386">
        <f t="shared" si="16"/>
        <v>5700000</v>
      </c>
      <c r="L10" s="386">
        <f t="shared" si="16"/>
        <v>0</v>
      </c>
      <c r="M10" s="386">
        <f t="shared" si="16"/>
        <v>0</v>
      </c>
      <c r="N10" s="386">
        <f t="shared" si="16"/>
        <v>0</v>
      </c>
      <c r="O10" s="386">
        <f t="shared" si="16"/>
        <v>0</v>
      </c>
      <c r="P10" s="386">
        <f t="shared" si="16"/>
        <v>0</v>
      </c>
      <c r="Q10" s="386">
        <f t="shared" si="16"/>
        <v>5700000</v>
      </c>
      <c r="R10" s="386">
        <f t="shared" si="16"/>
        <v>0</v>
      </c>
      <c r="S10" s="386">
        <f t="shared" si="16"/>
        <v>0</v>
      </c>
      <c r="T10" s="386">
        <f t="shared" si="16"/>
        <v>0</v>
      </c>
      <c r="U10" s="392"/>
      <c r="V10" s="392"/>
    </row>
    <row r="11" spans="1:22" s="13" customFormat="1">
      <c r="B11" s="391" t="s">
        <v>341</v>
      </c>
      <c r="C11" s="395" t="s">
        <v>2</v>
      </c>
      <c r="D11" s="404"/>
      <c r="E11" s="102">
        <f t="shared" ref="E11:T11" si="17">SUM(E9:E10)</f>
        <v>0</v>
      </c>
      <c r="F11" s="102">
        <f t="shared" si="17"/>
        <v>0</v>
      </c>
      <c r="G11" s="102">
        <f t="shared" si="17"/>
        <v>0</v>
      </c>
      <c r="H11" s="102">
        <f t="shared" si="17"/>
        <v>0</v>
      </c>
      <c r="I11" s="102">
        <f t="shared" si="17"/>
        <v>0</v>
      </c>
      <c r="J11" s="102">
        <f t="shared" si="17"/>
        <v>0</v>
      </c>
      <c r="K11" s="102">
        <f t="shared" si="17"/>
        <v>11700000</v>
      </c>
      <c r="L11" s="102">
        <f t="shared" si="17"/>
        <v>0</v>
      </c>
      <c r="M11" s="102">
        <f t="shared" si="17"/>
        <v>0</v>
      </c>
      <c r="N11" s="102">
        <f t="shared" si="17"/>
        <v>0</v>
      </c>
      <c r="O11" s="102">
        <f t="shared" si="17"/>
        <v>0</v>
      </c>
      <c r="P11" s="102">
        <f t="shared" si="17"/>
        <v>0</v>
      </c>
      <c r="Q11" s="102">
        <f t="shared" si="17"/>
        <v>11700000</v>
      </c>
      <c r="R11" s="102">
        <f t="shared" si="17"/>
        <v>0</v>
      </c>
      <c r="S11" s="102">
        <f t="shared" si="17"/>
        <v>0</v>
      </c>
      <c r="T11" s="102">
        <f t="shared" si="17"/>
        <v>0</v>
      </c>
      <c r="U11" s="393"/>
      <c r="V11" s="393"/>
    </row>
    <row r="12" spans="1:22">
      <c r="C12" s="7"/>
      <c r="D12" s="10"/>
      <c r="E12" s="10">
        <v>0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571"/>
      <c r="V12" s="571"/>
    </row>
    <row r="13" spans="1:22">
      <c r="A13" s="269" t="s">
        <v>413</v>
      </c>
      <c r="B13" s="512" t="s">
        <v>413</v>
      </c>
      <c r="C13" s="513"/>
      <c r="D13" s="513"/>
      <c r="E13" s="514">
        <f>E7</f>
        <v>2021</v>
      </c>
      <c r="F13" s="514">
        <f>E13+1</f>
        <v>2022</v>
      </c>
      <c r="G13" s="514">
        <f t="shared" ref="G13" si="18">F13+1</f>
        <v>2023</v>
      </c>
      <c r="H13" s="514">
        <f t="shared" ref="H13" si="19">G13+1</f>
        <v>2024</v>
      </c>
      <c r="I13" s="514">
        <f t="shared" ref="I13" si="20">H13+1</f>
        <v>2025</v>
      </c>
      <c r="J13" s="514">
        <f t="shared" ref="J13" si="21">I13+1</f>
        <v>2026</v>
      </c>
      <c r="K13" s="514">
        <f t="shared" ref="K13" si="22">J13+1</f>
        <v>2027</v>
      </c>
      <c r="L13" s="514">
        <f t="shared" ref="L13" si="23">K13+1</f>
        <v>2028</v>
      </c>
      <c r="M13" s="514">
        <f t="shared" ref="M13" si="24">L13+1</f>
        <v>2029</v>
      </c>
      <c r="N13" s="514">
        <f t="shared" ref="N13" si="25">M13+1</f>
        <v>2030</v>
      </c>
      <c r="O13" s="514">
        <f t="shared" ref="O13" si="26">N13+1</f>
        <v>2031</v>
      </c>
      <c r="P13" s="514">
        <f t="shared" ref="P13" si="27">O13+1</f>
        <v>2032</v>
      </c>
      <c r="Q13" s="514">
        <f t="shared" ref="Q13" si="28">P13+1</f>
        <v>2033</v>
      </c>
      <c r="R13" s="514">
        <f t="shared" ref="R13" si="29">Q13+1</f>
        <v>2034</v>
      </c>
      <c r="S13" s="514">
        <f t="shared" ref="S13" si="30">R13+1</f>
        <v>2035</v>
      </c>
      <c r="T13" s="514">
        <f t="shared" ref="T13" si="31">S13+1</f>
        <v>2036</v>
      </c>
    </row>
    <row r="14" spans="1:22">
      <c r="E14" s="100"/>
    </row>
    <row r="15" spans="1:22">
      <c r="A15" s="114"/>
      <c r="B15" s="405" t="s">
        <v>33</v>
      </c>
      <c r="C15" s="97"/>
      <c r="D15" s="97"/>
      <c r="E15" s="572"/>
      <c r="F15" s="572"/>
      <c r="G15" s="572"/>
      <c r="H15" s="572"/>
      <c r="I15" s="572"/>
      <c r="J15" s="572"/>
    </row>
    <row r="16" spans="1:22">
      <c r="A16" s="114"/>
      <c r="B16" s="284" t="s">
        <v>355</v>
      </c>
      <c r="C16" s="409" t="s">
        <v>47</v>
      </c>
      <c r="D16" s="97"/>
      <c r="E16" s="573">
        <f>E11</f>
        <v>0</v>
      </c>
      <c r="F16" s="573">
        <f>F11</f>
        <v>0</v>
      </c>
      <c r="G16" s="573">
        <f t="shared" ref="G16:T16" si="32">G11</f>
        <v>0</v>
      </c>
      <c r="H16" s="573">
        <f t="shared" si="32"/>
        <v>0</v>
      </c>
      <c r="I16" s="573">
        <f t="shared" si="32"/>
        <v>0</v>
      </c>
      <c r="J16" s="573">
        <f t="shared" si="32"/>
        <v>0</v>
      </c>
      <c r="K16" s="573">
        <f t="shared" si="32"/>
        <v>11700000</v>
      </c>
      <c r="L16" s="573">
        <f t="shared" si="32"/>
        <v>0</v>
      </c>
      <c r="M16" s="573">
        <f t="shared" si="32"/>
        <v>0</v>
      </c>
      <c r="N16" s="573">
        <f t="shared" si="32"/>
        <v>0</v>
      </c>
      <c r="O16" s="573">
        <f t="shared" si="32"/>
        <v>0</v>
      </c>
      <c r="P16" s="573">
        <f t="shared" si="32"/>
        <v>0</v>
      </c>
      <c r="Q16" s="573">
        <f t="shared" si="32"/>
        <v>11700000</v>
      </c>
      <c r="R16" s="573">
        <f t="shared" si="32"/>
        <v>0</v>
      </c>
      <c r="S16" s="573">
        <f t="shared" si="32"/>
        <v>0</v>
      </c>
      <c r="T16" s="573">
        <f t="shared" si="32"/>
        <v>0</v>
      </c>
    </row>
    <row r="17" spans="1:22" ht="13.5" customHeight="1">
      <c r="A17" s="114"/>
      <c r="B17" s="284" t="s">
        <v>42</v>
      </c>
      <c r="C17" s="409" t="s">
        <v>47</v>
      </c>
      <c r="D17" s="406"/>
      <c r="E17" s="573"/>
      <c r="F17" s="573"/>
      <c r="G17" s="573"/>
      <c r="H17" s="573"/>
      <c r="I17" s="573"/>
      <c r="J17" s="573"/>
      <c r="K17" s="573"/>
      <c r="L17" s="573"/>
      <c r="M17" s="573"/>
      <c r="N17" s="573"/>
      <c r="O17" s="573"/>
      <c r="P17" s="573"/>
      <c r="Q17" s="573"/>
      <c r="R17" s="573"/>
      <c r="S17" s="573"/>
      <c r="T17" s="573"/>
    </row>
    <row r="18" spans="1:22" ht="12.75" customHeight="1">
      <c r="A18" s="114"/>
      <c r="B18" s="284" t="s">
        <v>360</v>
      </c>
      <c r="C18" s="409" t="s">
        <v>47</v>
      </c>
      <c r="D18" s="411"/>
      <c r="E18" s="573"/>
      <c r="F18" s="574"/>
      <c r="G18" s="574"/>
      <c r="H18" s="574"/>
      <c r="I18" s="574"/>
      <c r="J18" s="574"/>
      <c r="K18" s="574"/>
      <c r="L18" s="574"/>
      <c r="M18" s="574"/>
      <c r="N18" s="574"/>
      <c r="O18" s="574"/>
      <c r="P18" s="574"/>
      <c r="Q18" s="574"/>
      <c r="R18" s="574"/>
      <c r="S18" s="574"/>
      <c r="T18" s="574"/>
    </row>
    <row r="19" spans="1:22" ht="12.75" customHeight="1">
      <c r="A19" s="114"/>
      <c r="B19" s="284" t="s">
        <v>402</v>
      </c>
      <c r="C19" s="409" t="s">
        <v>47</v>
      </c>
      <c r="D19" s="411"/>
      <c r="E19" s="573"/>
      <c r="F19" s="574"/>
      <c r="G19" s="574"/>
      <c r="H19" s="574"/>
      <c r="I19" s="574"/>
      <c r="J19" s="574"/>
      <c r="K19" s="574"/>
      <c r="L19" s="574"/>
      <c r="M19" s="574"/>
      <c r="N19" s="574"/>
      <c r="O19" s="574"/>
      <c r="P19" s="574"/>
      <c r="Q19" s="574"/>
      <c r="R19" s="574"/>
      <c r="S19" s="574"/>
      <c r="T19" s="574"/>
    </row>
    <row r="20" spans="1:22">
      <c r="A20" s="114"/>
      <c r="B20" s="97" t="s">
        <v>363</v>
      </c>
      <c r="C20" s="409" t="s">
        <v>48</v>
      </c>
      <c r="D20" s="97"/>
      <c r="E20" s="575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</row>
    <row r="21" spans="1:22">
      <c r="A21" s="114"/>
      <c r="B21" s="97" t="s">
        <v>364</v>
      </c>
      <c r="C21" s="409" t="s">
        <v>48</v>
      </c>
      <c r="D21" s="97"/>
      <c r="E21" s="575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</row>
    <row r="22" spans="1:22">
      <c r="A22" s="114"/>
      <c r="B22" s="97" t="s">
        <v>152</v>
      </c>
      <c r="C22" s="97">
        <v>13</v>
      </c>
      <c r="D22" s="97" t="s">
        <v>59</v>
      </c>
      <c r="E22" s="572"/>
      <c r="F22" s="572"/>
      <c r="G22" s="572"/>
      <c r="H22" s="572"/>
      <c r="I22" s="572"/>
      <c r="J22" s="572"/>
      <c r="Q22" s="10"/>
    </row>
    <row r="23" spans="1:22">
      <c r="A23" s="114"/>
      <c r="B23" s="97" t="s">
        <v>226</v>
      </c>
      <c r="C23" s="97">
        <v>15</v>
      </c>
      <c r="D23" s="97" t="s">
        <v>59</v>
      </c>
      <c r="E23" s="576"/>
      <c r="F23" s="576"/>
      <c r="G23" s="576"/>
      <c r="H23" s="576"/>
      <c r="I23" s="576"/>
      <c r="J23" s="576"/>
      <c r="Q23" s="10"/>
    </row>
    <row r="24" spans="1:22">
      <c r="C24" s="7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571"/>
      <c r="U24" s="571"/>
      <c r="V24" s="571"/>
    </row>
    <row r="25" spans="1:22">
      <c r="A25" s="269" t="s">
        <v>338</v>
      </c>
      <c r="B25" s="512" t="s">
        <v>416</v>
      </c>
      <c r="C25" s="513" t="s">
        <v>359</v>
      </c>
      <c r="D25" s="513">
        <v>2021</v>
      </c>
      <c r="E25" s="514">
        <f>D25+1</f>
        <v>2022</v>
      </c>
      <c r="F25" s="514">
        <f>E25+1</f>
        <v>2023</v>
      </c>
      <c r="G25" s="514">
        <f t="shared" ref="G25:S25" si="33">F25+1</f>
        <v>2024</v>
      </c>
      <c r="H25" s="514">
        <f t="shared" si="33"/>
        <v>2025</v>
      </c>
      <c r="I25" s="514">
        <f t="shared" si="33"/>
        <v>2026</v>
      </c>
      <c r="J25" s="514">
        <f t="shared" si="33"/>
        <v>2027</v>
      </c>
      <c r="K25" s="514">
        <f t="shared" si="33"/>
        <v>2028</v>
      </c>
      <c r="L25" s="514">
        <f t="shared" si="33"/>
        <v>2029</v>
      </c>
      <c r="M25" s="514">
        <f t="shared" si="33"/>
        <v>2030</v>
      </c>
      <c r="N25" s="514">
        <f t="shared" si="33"/>
        <v>2031</v>
      </c>
      <c r="O25" s="514">
        <f t="shared" si="33"/>
        <v>2032</v>
      </c>
      <c r="P25" s="514">
        <f t="shared" si="33"/>
        <v>2033</v>
      </c>
      <c r="Q25" s="514">
        <f t="shared" si="33"/>
        <v>2034</v>
      </c>
      <c r="R25" s="514">
        <f t="shared" si="33"/>
        <v>2035</v>
      </c>
      <c r="S25" s="514">
        <f t="shared" si="33"/>
        <v>2036</v>
      </c>
      <c r="T25" s="394"/>
      <c r="U25" s="394"/>
      <c r="V25" s="4"/>
    </row>
    <row r="26" spans="1:22" s="557" customFormat="1">
      <c r="B26" s="608" t="s">
        <v>356</v>
      </c>
      <c r="E26" s="388"/>
      <c r="F26" s="388"/>
      <c r="G26" s="388"/>
      <c r="H26" s="388"/>
      <c r="I26" s="388"/>
      <c r="J26" s="388"/>
      <c r="K26" s="388"/>
      <c r="L26" s="388"/>
      <c r="M26" s="388"/>
      <c r="N26" s="388"/>
      <c r="O26" s="388"/>
      <c r="P26" s="388"/>
      <c r="Q26" s="388"/>
      <c r="R26" s="388"/>
      <c r="S26" s="388"/>
      <c r="T26" s="558"/>
      <c r="U26" s="558"/>
      <c r="V26" s="558"/>
    </row>
    <row r="27" spans="1:22" s="557" customFormat="1">
      <c r="A27" s="559"/>
      <c r="B27" s="609" t="s">
        <v>484</v>
      </c>
      <c r="C27" s="607" t="s">
        <v>479</v>
      </c>
      <c r="D27" s="598">
        <v>0</v>
      </c>
      <c r="E27" s="598">
        <v>0</v>
      </c>
      <c r="F27" s="598">
        <v>0</v>
      </c>
      <c r="G27" s="598">
        <v>0</v>
      </c>
      <c r="H27" s="598">
        <v>0</v>
      </c>
      <c r="I27" s="598">
        <v>0</v>
      </c>
      <c r="J27" s="598">
        <v>23</v>
      </c>
      <c r="K27" s="598">
        <v>0</v>
      </c>
      <c r="L27" s="598">
        <v>0</v>
      </c>
      <c r="M27" s="598">
        <v>0</v>
      </c>
      <c r="N27" s="598">
        <v>0</v>
      </c>
      <c r="O27" s="598">
        <v>0</v>
      </c>
      <c r="P27" s="598">
        <v>0</v>
      </c>
      <c r="Q27" s="598">
        <v>0</v>
      </c>
      <c r="R27" s="598">
        <v>23</v>
      </c>
      <c r="S27" s="598">
        <v>0</v>
      </c>
      <c r="T27" s="561"/>
      <c r="U27" s="561"/>
      <c r="V27" s="558"/>
    </row>
    <row r="28" spans="1:22" s="557" customFormat="1">
      <c r="A28" s="559"/>
      <c r="B28" s="609" t="s">
        <v>512</v>
      </c>
      <c r="C28" s="607" t="s">
        <v>511</v>
      </c>
      <c r="D28" s="598">
        <v>0</v>
      </c>
      <c r="E28" s="598">
        <v>0</v>
      </c>
      <c r="F28" s="598">
        <v>0</v>
      </c>
      <c r="G28" s="598">
        <v>0</v>
      </c>
      <c r="H28" s="598">
        <v>0</v>
      </c>
      <c r="I28" s="598">
        <v>0</v>
      </c>
      <c r="J28" s="598">
        <v>18</v>
      </c>
      <c r="K28" s="598">
        <v>0</v>
      </c>
      <c r="L28" s="598">
        <v>0</v>
      </c>
      <c r="M28" s="598">
        <v>0</v>
      </c>
      <c r="N28" s="598">
        <v>0</v>
      </c>
      <c r="O28" s="598">
        <v>0</v>
      </c>
      <c r="P28" s="598">
        <v>0</v>
      </c>
      <c r="Q28" s="598">
        <v>0</v>
      </c>
      <c r="R28" s="598">
        <v>18</v>
      </c>
      <c r="S28" s="598">
        <v>0</v>
      </c>
      <c r="T28" s="561"/>
      <c r="U28" s="561"/>
      <c r="V28" s="558"/>
    </row>
    <row r="29" spans="1:22" s="557" customFormat="1">
      <c r="B29" s="562" t="s">
        <v>341</v>
      </c>
      <c r="C29" s="563" t="s">
        <v>2</v>
      </c>
      <c r="D29" s="563">
        <f t="shared" ref="D29:S29" si="34">SUBTOTAL(9,D27:D28)</f>
        <v>0</v>
      </c>
      <c r="E29" s="563">
        <f t="shared" si="34"/>
        <v>0</v>
      </c>
      <c r="F29" s="563">
        <f t="shared" si="34"/>
        <v>0</v>
      </c>
      <c r="G29" s="563">
        <f t="shared" si="34"/>
        <v>0</v>
      </c>
      <c r="H29" s="563">
        <f t="shared" si="34"/>
        <v>0</v>
      </c>
      <c r="I29" s="563">
        <f t="shared" si="34"/>
        <v>0</v>
      </c>
      <c r="J29" s="563">
        <f t="shared" si="34"/>
        <v>41</v>
      </c>
      <c r="K29" s="563">
        <f t="shared" si="34"/>
        <v>0</v>
      </c>
      <c r="L29" s="563">
        <f t="shared" si="34"/>
        <v>0</v>
      </c>
      <c r="M29" s="563">
        <f t="shared" si="34"/>
        <v>0</v>
      </c>
      <c r="N29" s="563">
        <f t="shared" si="34"/>
        <v>0</v>
      </c>
      <c r="O29" s="563">
        <f t="shared" si="34"/>
        <v>0</v>
      </c>
      <c r="P29" s="563">
        <f t="shared" si="34"/>
        <v>0</v>
      </c>
      <c r="Q29" s="563">
        <f t="shared" si="34"/>
        <v>0</v>
      </c>
      <c r="R29" s="563">
        <f t="shared" si="34"/>
        <v>41</v>
      </c>
      <c r="S29" s="563">
        <f t="shared" si="34"/>
        <v>0</v>
      </c>
      <c r="T29" s="564"/>
      <c r="U29" s="564"/>
      <c r="V29" s="565"/>
    </row>
    <row r="30" spans="1:22" s="557" customFormat="1"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45"/>
      <c r="Q30" s="45"/>
      <c r="R30" s="566"/>
    </row>
    <row r="31" spans="1:22">
      <c r="A31" s="269" t="s">
        <v>338</v>
      </c>
      <c r="B31" s="512" t="s">
        <v>416</v>
      </c>
      <c r="C31" s="513" t="s">
        <v>359</v>
      </c>
      <c r="D31" s="513" t="s">
        <v>358</v>
      </c>
      <c r="E31" s="514">
        <f t="shared" ref="E31:T31" si="35">D25</f>
        <v>2021</v>
      </c>
      <c r="F31" s="514">
        <f t="shared" si="35"/>
        <v>2022</v>
      </c>
      <c r="G31" s="514">
        <f t="shared" si="35"/>
        <v>2023</v>
      </c>
      <c r="H31" s="514">
        <f t="shared" si="35"/>
        <v>2024</v>
      </c>
      <c r="I31" s="514">
        <f t="shared" si="35"/>
        <v>2025</v>
      </c>
      <c r="J31" s="514">
        <f t="shared" si="35"/>
        <v>2026</v>
      </c>
      <c r="K31" s="514">
        <f t="shared" si="35"/>
        <v>2027</v>
      </c>
      <c r="L31" s="514">
        <f t="shared" si="35"/>
        <v>2028</v>
      </c>
      <c r="M31" s="514">
        <f t="shared" si="35"/>
        <v>2029</v>
      </c>
      <c r="N31" s="514">
        <f t="shared" si="35"/>
        <v>2030</v>
      </c>
      <c r="O31" s="514">
        <f t="shared" si="35"/>
        <v>2031</v>
      </c>
      <c r="P31" s="514">
        <f t="shared" si="35"/>
        <v>2032</v>
      </c>
      <c r="Q31" s="514">
        <f t="shared" si="35"/>
        <v>2033</v>
      </c>
      <c r="R31" s="514">
        <f t="shared" si="35"/>
        <v>2034</v>
      </c>
      <c r="S31" s="514">
        <f t="shared" si="35"/>
        <v>2035</v>
      </c>
      <c r="T31" s="514">
        <f t="shared" si="35"/>
        <v>2036</v>
      </c>
      <c r="U31" s="12"/>
      <c r="V31" s="12"/>
    </row>
    <row r="32" spans="1:22" s="557" customFormat="1">
      <c r="A32" s="567"/>
      <c r="B32" s="608" t="s">
        <v>357</v>
      </c>
      <c r="C32" s="387"/>
      <c r="D32" s="388"/>
      <c r="E32" s="568"/>
      <c r="F32" s="568"/>
      <c r="G32" s="568"/>
      <c r="H32" s="568"/>
      <c r="I32" s="568"/>
      <c r="J32" s="568"/>
      <c r="K32" s="568"/>
      <c r="L32" s="568"/>
      <c r="M32" s="568"/>
      <c r="N32" s="568"/>
      <c r="O32" s="568"/>
      <c r="P32" s="569"/>
      <c r="Q32" s="569"/>
      <c r="R32" s="568"/>
      <c r="S32" s="567"/>
      <c r="T32" s="567"/>
      <c r="U32" s="570"/>
      <c r="V32" s="570"/>
    </row>
    <row r="33" spans="1:22" s="557" customFormat="1">
      <c r="A33" s="559"/>
      <c r="B33" s="609" t="s">
        <v>484</v>
      </c>
      <c r="C33" s="607" t="s">
        <v>479</v>
      </c>
      <c r="D33" s="390">
        <f>Założenia!E201</f>
        <v>590000</v>
      </c>
      <c r="E33" s="386">
        <f t="shared" ref="E33:T33" si="36">$D33*D27</f>
        <v>0</v>
      </c>
      <c r="F33" s="386">
        <f t="shared" si="36"/>
        <v>0</v>
      </c>
      <c r="G33" s="386">
        <f t="shared" si="36"/>
        <v>0</v>
      </c>
      <c r="H33" s="386">
        <f t="shared" si="36"/>
        <v>0</v>
      </c>
      <c r="I33" s="386">
        <f t="shared" si="36"/>
        <v>0</v>
      </c>
      <c r="J33" s="386">
        <f t="shared" si="36"/>
        <v>0</v>
      </c>
      <c r="K33" s="386">
        <f t="shared" si="36"/>
        <v>13570000</v>
      </c>
      <c r="L33" s="386">
        <f t="shared" si="36"/>
        <v>0</v>
      </c>
      <c r="M33" s="386">
        <f t="shared" si="36"/>
        <v>0</v>
      </c>
      <c r="N33" s="386">
        <f t="shared" si="36"/>
        <v>0</v>
      </c>
      <c r="O33" s="386">
        <f t="shared" si="36"/>
        <v>0</v>
      </c>
      <c r="P33" s="386">
        <f t="shared" si="36"/>
        <v>0</v>
      </c>
      <c r="Q33" s="386">
        <f t="shared" si="36"/>
        <v>0</v>
      </c>
      <c r="R33" s="386">
        <f t="shared" si="36"/>
        <v>0</v>
      </c>
      <c r="S33" s="386">
        <f t="shared" si="36"/>
        <v>13570000</v>
      </c>
      <c r="T33" s="386">
        <f t="shared" si="36"/>
        <v>0</v>
      </c>
      <c r="U33" s="392"/>
      <c r="V33" s="392"/>
    </row>
    <row r="34" spans="1:22" s="557" customFormat="1">
      <c r="A34" s="559"/>
      <c r="B34" s="609" t="s">
        <v>512</v>
      </c>
      <c r="C34" s="607" t="s">
        <v>511</v>
      </c>
      <c r="D34" s="390">
        <f>Założenia!E202</f>
        <v>900000</v>
      </c>
      <c r="E34" s="386">
        <f t="shared" ref="E34:T34" si="37">$D34*D28</f>
        <v>0</v>
      </c>
      <c r="F34" s="386">
        <f t="shared" si="37"/>
        <v>0</v>
      </c>
      <c r="G34" s="386">
        <f t="shared" si="37"/>
        <v>0</v>
      </c>
      <c r="H34" s="386">
        <f t="shared" si="37"/>
        <v>0</v>
      </c>
      <c r="I34" s="386">
        <f t="shared" si="37"/>
        <v>0</v>
      </c>
      <c r="J34" s="386">
        <f t="shared" si="37"/>
        <v>0</v>
      </c>
      <c r="K34" s="386">
        <f t="shared" si="37"/>
        <v>16200000</v>
      </c>
      <c r="L34" s="386">
        <f t="shared" si="37"/>
        <v>0</v>
      </c>
      <c r="M34" s="386">
        <f t="shared" si="37"/>
        <v>0</v>
      </c>
      <c r="N34" s="386">
        <f t="shared" si="37"/>
        <v>0</v>
      </c>
      <c r="O34" s="386">
        <f t="shared" si="37"/>
        <v>0</v>
      </c>
      <c r="P34" s="386">
        <f t="shared" si="37"/>
        <v>0</v>
      </c>
      <c r="Q34" s="386">
        <f t="shared" si="37"/>
        <v>0</v>
      </c>
      <c r="R34" s="386">
        <f t="shared" si="37"/>
        <v>0</v>
      </c>
      <c r="S34" s="386">
        <f t="shared" si="37"/>
        <v>16200000</v>
      </c>
      <c r="T34" s="386">
        <f t="shared" si="37"/>
        <v>0</v>
      </c>
      <c r="U34" s="392"/>
      <c r="V34" s="392"/>
    </row>
    <row r="35" spans="1:22" s="13" customFormat="1">
      <c r="B35" s="391" t="s">
        <v>341</v>
      </c>
      <c r="C35" s="395" t="s">
        <v>2</v>
      </c>
      <c r="D35" s="404"/>
      <c r="E35" s="102">
        <f t="shared" ref="E35:T35" si="38">SUM(E33:E34)</f>
        <v>0</v>
      </c>
      <c r="F35" s="102">
        <f t="shared" si="38"/>
        <v>0</v>
      </c>
      <c r="G35" s="102">
        <f t="shared" si="38"/>
        <v>0</v>
      </c>
      <c r="H35" s="102">
        <f t="shared" si="38"/>
        <v>0</v>
      </c>
      <c r="I35" s="102">
        <f t="shared" si="38"/>
        <v>0</v>
      </c>
      <c r="J35" s="102">
        <f t="shared" si="38"/>
        <v>0</v>
      </c>
      <c r="K35" s="102">
        <f t="shared" si="38"/>
        <v>29770000</v>
      </c>
      <c r="L35" s="102">
        <f t="shared" si="38"/>
        <v>0</v>
      </c>
      <c r="M35" s="102">
        <f t="shared" si="38"/>
        <v>0</v>
      </c>
      <c r="N35" s="102">
        <f t="shared" si="38"/>
        <v>0</v>
      </c>
      <c r="O35" s="102">
        <f t="shared" si="38"/>
        <v>0</v>
      </c>
      <c r="P35" s="102">
        <f t="shared" si="38"/>
        <v>0</v>
      </c>
      <c r="Q35" s="102">
        <f t="shared" si="38"/>
        <v>0</v>
      </c>
      <c r="R35" s="102">
        <f t="shared" si="38"/>
        <v>0</v>
      </c>
      <c r="S35" s="102">
        <f t="shared" si="38"/>
        <v>29770000</v>
      </c>
      <c r="T35" s="102">
        <f t="shared" si="38"/>
        <v>0</v>
      </c>
      <c r="U35" s="393"/>
      <c r="V35" s="393"/>
    </row>
    <row r="36" spans="1:22">
      <c r="C36" s="7"/>
      <c r="D36" s="10"/>
      <c r="E36" s="10">
        <v>0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571"/>
      <c r="V36" s="571"/>
    </row>
    <row r="37" spans="1:22">
      <c r="A37" s="269" t="s">
        <v>338</v>
      </c>
      <c r="B37" s="512" t="s">
        <v>416</v>
      </c>
      <c r="C37" s="513"/>
      <c r="D37" s="513"/>
      <c r="E37" s="514">
        <f>E31</f>
        <v>2021</v>
      </c>
      <c r="F37" s="514">
        <f>E37+1</f>
        <v>2022</v>
      </c>
      <c r="G37" s="514">
        <f t="shared" ref="G37" si="39">F37+1</f>
        <v>2023</v>
      </c>
      <c r="H37" s="514">
        <f t="shared" ref="H37" si="40">G37+1</f>
        <v>2024</v>
      </c>
      <c r="I37" s="514">
        <f t="shared" ref="I37" si="41">H37+1</f>
        <v>2025</v>
      </c>
      <c r="J37" s="514">
        <f t="shared" ref="J37" si="42">I37+1</f>
        <v>2026</v>
      </c>
      <c r="K37" s="514">
        <f t="shared" ref="K37" si="43">J37+1</f>
        <v>2027</v>
      </c>
      <c r="L37" s="514">
        <f t="shared" ref="L37" si="44">K37+1</f>
        <v>2028</v>
      </c>
      <c r="M37" s="514">
        <f t="shared" ref="M37" si="45">L37+1</f>
        <v>2029</v>
      </c>
      <c r="N37" s="514">
        <f t="shared" ref="N37" si="46">M37+1</f>
        <v>2030</v>
      </c>
      <c r="O37" s="514">
        <f t="shared" ref="O37" si="47">N37+1</f>
        <v>2031</v>
      </c>
      <c r="P37" s="514">
        <f t="shared" ref="P37" si="48">O37+1</f>
        <v>2032</v>
      </c>
      <c r="Q37" s="514">
        <f t="shared" ref="Q37" si="49">P37+1</f>
        <v>2033</v>
      </c>
      <c r="R37" s="514">
        <f t="shared" ref="R37" si="50">Q37+1</f>
        <v>2034</v>
      </c>
      <c r="S37" s="514">
        <f t="shared" ref="S37" si="51">R37+1</f>
        <v>2035</v>
      </c>
      <c r="T37" s="514">
        <f t="shared" ref="T37" si="52">S37+1</f>
        <v>2036</v>
      </c>
    </row>
    <row r="38" spans="1:22">
      <c r="E38" s="100"/>
    </row>
    <row r="39" spans="1:22">
      <c r="A39" s="114"/>
      <c r="B39" s="405" t="s">
        <v>33</v>
      </c>
      <c r="C39" s="97"/>
      <c r="D39" s="97"/>
      <c r="E39" s="572"/>
      <c r="F39" s="572"/>
      <c r="G39" s="572"/>
      <c r="H39" s="572"/>
      <c r="I39" s="572"/>
      <c r="J39" s="572"/>
    </row>
    <row r="40" spans="1:22">
      <c r="A40" s="114"/>
      <c r="B40" s="284" t="s">
        <v>355</v>
      </c>
      <c r="C40" s="409" t="s">
        <v>47</v>
      </c>
      <c r="D40" s="97"/>
      <c r="E40" s="573">
        <f>E35</f>
        <v>0</v>
      </c>
      <c r="F40" s="573">
        <f>F35</f>
        <v>0</v>
      </c>
      <c r="G40" s="573">
        <f t="shared" ref="G40:T40" si="53">G35</f>
        <v>0</v>
      </c>
      <c r="H40" s="573">
        <f t="shared" si="53"/>
        <v>0</v>
      </c>
      <c r="I40" s="573">
        <f t="shared" si="53"/>
        <v>0</v>
      </c>
      <c r="J40" s="573">
        <f t="shared" si="53"/>
        <v>0</v>
      </c>
      <c r="K40" s="573">
        <f t="shared" si="53"/>
        <v>29770000</v>
      </c>
      <c r="L40" s="573">
        <f t="shared" si="53"/>
        <v>0</v>
      </c>
      <c r="M40" s="573">
        <f t="shared" si="53"/>
        <v>0</v>
      </c>
      <c r="N40" s="573">
        <f t="shared" si="53"/>
        <v>0</v>
      </c>
      <c r="O40" s="573">
        <f t="shared" si="53"/>
        <v>0</v>
      </c>
      <c r="P40" s="573">
        <f t="shared" si="53"/>
        <v>0</v>
      </c>
      <c r="Q40" s="573">
        <f t="shared" si="53"/>
        <v>0</v>
      </c>
      <c r="R40" s="573">
        <f t="shared" si="53"/>
        <v>0</v>
      </c>
      <c r="S40" s="573">
        <f t="shared" si="53"/>
        <v>29770000</v>
      </c>
      <c r="T40" s="573">
        <f t="shared" si="53"/>
        <v>0</v>
      </c>
    </row>
    <row r="41" spans="1:22" ht="13.5" customHeight="1">
      <c r="A41" s="114"/>
      <c r="B41" s="284" t="s">
        <v>42</v>
      </c>
      <c r="C41" s="409" t="s">
        <v>47</v>
      </c>
      <c r="D41" s="406"/>
      <c r="E41" s="573"/>
      <c r="F41" s="573"/>
      <c r="G41" s="573"/>
      <c r="H41" s="573"/>
      <c r="I41" s="573"/>
      <c r="J41" s="573"/>
      <c r="K41" s="573"/>
      <c r="L41" s="573"/>
      <c r="M41" s="573"/>
      <c r="N41" s="573"/>
      <c r="O41" s="573"/>
      <c r="P41" s="573"/>
      <c r="Q41" s="573"/>
      <c r="R41" s="573"/>
      <c r="S41" s="573"/>
      <c r="T41" s="573"/>
    </row>
    <row r="42" spans="1:22" ht="12.75" customHeight="1">
      <c r="A42" s="114"/>
      <c r="B42" s="284" t="s">
        <v>360</v>
      </c>
      <c r="C42" s="409" t="s">
        <v>47</v>
      </c>
      <c r="D42" s="411"/>
      <c r="E42" s="573"/>
      <c r="F42" s="574"/>
      <c r="G42" s="574"/>
      <c r="H42" s="574"/>
      <c r="I42" s="574"/>
      <c r="J42" s="574"/>
      <c r="K42" s="574"/>
      <c r="L42" s="574"/>
      <c r="M42" s="574"/>
      <c r="N42" s="574"/>
      <c r="O42" s="574"/>
      <c r="P42" s="574"/>
      <c r="Q42" s="574"/>
      <c r="R42" s="574"/>
      <c r="S42" s="574"/>
      <c r="T42" s="574"/>
    </row>
    <row r="43" spans="1:22" ht="12.75" customHeight="1">
      <c r="A43" s="114"/>
      <c r="B43" s="284" t="s">
        <v>402</v>
      </c>
      <c r="C43" s="409" t="s">
        <v>47</v>
      </c>
      <c r="D43" s="411"/>
      <c r="E43" s="573"/>
      <c r="F43" s="574"/>
      <c r="G43" s="574"/>
      <c r="H43" s="574"/>
      <c r="I43" s="574"/>
      <c r="J43" s="574"/>
      <c r="K43" s="574"/>
      <c r="L43" s="574"/>
      <c r="M43" s="574"/>
      <c r="N43" s="574"/>
      <c r="O43" s="574"/>
      <c r="P43" s="574"/>
      <c r="Q43" s="574"/>
      <c r="R43" s="574"/>
      <c r="S43" s="574"/>
      <c r="T43" s="574"/>
    </row>
    <row r="44" spans="1:22">
      <c r="A44" s="114"/>
      <c r="B44" s="97" t="s">
        <v>363</v>
      </c>
      <c r="C44" s="409" t="s">
        <v>48</v>
      </c>
      <c r="D44" s="97"/>
      <c r="E44" s="575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</row>
    <row r="45" spans="1:22">
      <c r="A45" s="114"/>
      <c r="B45" s="97" t="s">
        <v>364</v>
      </c>
      <c r="C45" s="409" t="s">
        <v>48</v>
      </c>
      <c r="D45" s="97"/>
      <c r="E45" s="575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</row>
    <row r="46" spans="1:22">
      <c r="A46" s="114"/>
      <c r="B46" s="97" t="s">
        <v>462</v>
      </c>
      <c r="C46" s="97">
        <v>13</v>
      </c>
      <c r="D46" s="97" t="s">
        <v>59</v>
      </c>
      <c r="E46" s="572"/>
      <c r="F46" s="572"/>
      <c r="G46" s="572"/>
      <c r="H46" s="572"/>
      <c r="I46" s="572"/>
      <c r="J46" s="572"/>
      <c r="Q46" s="10"/>
    </row>
    <row r="47" spans="1:22">
      <c r="A47" s="114"/>
      <c r="B47" s="97" t="s">
        <v>226</v>
      </c>
      <c r="C47" s="97">
        <v>15</v>
      </c>
      <c r="D47" s="97" t="s">
        <v>59</v>
      </c>
      <c r="E47" s="576"/>
      <c r="F47" s="576"/>
      <c r="G47" s="576"/>
      <c r="H47" s="576"/>
      <c r="I47" s="576"/>
      <c r="J47" s="576"/>
      <c r="Q47" s="10"/>
    </row>
    <row r="48" spans="1:22">
      <c r="C48" s="7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571"/>
      <c r="U48" s="571"/>
      <c r="V48" s="571"/>
    </row>
    <row r="49" spans="1:22">
      <c r="A49" s="269" t="s">
        <v>339</v>
      </c>
      <c r="B49" s="512" t="s">
        <v>443</v>
      </c>
      <c r="C49" s="513" t="s">
        <v>359</v>
      </c>
      <c r="D49" s="513">
        <f>D25</f>
        <v>2021</v>
      </c>
      <c r="E49" s="514">
        <f>D49+1</f>
        <v>2022</v>
      </c>
      <c r="F49" s="514">
        <f>E49+1</f>
        <v>2023</v>
      </c>
      <c r="G49" s="514">
        <f t="shared" ref="G49:S49" si="54">F49+1</f>
        <v>2024</v>
      </c>
      <c r="H49" s="514">
        <f t="shared" si="54"/>
        <v>2025</v>
      </c>
      <c r="I49" s="514">
        <f t="shared" si="54"/>
        <v>2026</v>
      </c>
      <c r="J49" s="514">
        <f t="shared" si="54"/>
        <v>2027</v>
      </c>
      <c r="K49" s="514">
        <f t="shared" si="54"/>
        <v>2028</v>
      </c>
      <c r="L49" s="514">
        <f t="shared" si="54"/>
        <v>2029</v>
      </c>
      <c r="M49" s="514">
        <f t="shared" si="54"/>
        <v>2030</v>
      </c>
      <c r="N49" s="514">
        <f t="shared" si="54"/>
        <v>2031</v>
      </c>
      <c r="O49" s="514">
        <f t="shared" si="54"/>
        <v>2032</v>
      </c>
      <c r="P49" s="514">
        <f t="shared" si="54"/>
        <v>2033</v>
      </c>
      <c r="Q49" s="514">
        <f t="shared" si="54"/>
        <v>2034</v>
      </c>
      <c r="R49" s="514">
        <f t="shared" si="54"/>
        <v>2035</v>
      </c>
      <c r="S49" s="514">
        <f t="shared" si="54"/>
        <v>2036</v>
      </c>
      <c r="T49" s="394"/>
      <c r="U49" s="394"/>
      <c r="V49" s="4"/>
    </row>
    <row r="50" spans="1:22" s="557" customFormat="1">
      <c r="B50" s="608" t="s">
        <v>356</v>
      </c>
      <c r="E50" s="388"/>
      <c r="F50" s="388"/>
      <c r="G50" s="388"/>
      <c r="H50" s="388"/>
      <c r="I50" s="388"/>
      <c r="J50" s="388"/>
      <c r="K50" s="388"/>
      <c r="L50" s="388"/>
      <c r="M50" s="388"/>
      <c r="N50" s="388"/>
      <c r="O50" s="388"/>
      <c r="P50" s="388"/>
      <c r="Q50" s="388"/>
      <c r="R50" s="388"/>
      <c r="S50" s="388"/>
      <c r="T50" s="558"/>
      <c r="U50" s="558"/>
      <c r="V50" s="558"/>
    </row>
    <row r="51" spans="1:22" s="557" customFormat="1">
      <c r="A51" s="559"/>
      <c r="B51" s="609" t="s">
        <v>484</v>
      </c>
      <c r="C51" s="607" t="s">
        <v>479</v>
      </c>
      <c r="D51" s="560">
        <v>0</v>
      </c>
      <c r="E51" s="560">
        <v>0</v>
      </c>
      <c r="F51" s="560">
        <v>0</v>
      </c>
      <c r="G51" s="560">
        <v>0</v>
      </c>
      <c r="H51" s="560">
        <v>0</v>
      </c>
      <c r="I51" s="560">
        <v>0</v>
      </c>
      <c r="J51" s="560">
        <v>16</v>
      </c>
      <c r="K51" s="560">
        <v>0</v>
      </c>
      <c r="L51" s="560">
        <v>0</v>
      </c>
      <c r="M51" s="560">
        <v>0</v>
      </c>
      <c r="N51" s="560">
        <v>0</v>
      </c>
      <c r="O51" s="560">
        <v>0</v>
      </c>
      <c r="P51" s="560">
        <v>0</v>
      </c>
      <c r="Q51" s="560">
        <v>0</v>
      </c>
      <c r="R51" s="560">
        <v>16</v>
      </c>
      <c r="S51" s="560">
        <v>0</v>
      </c>
      <c r="T51" s="561"/>
      <c r="U51" s="561"/>
      <c r="V51" s="558"/>
    </row>
    <row r="52" spans="1:22" s="557" customFormat="1">
      <c r="A52" s="559"/>
      <c r="B52" s="609" t="s">
        <v>512</v>
      </c>
      <c r="C52" s="607" t="s">
        <v>511</v>
      </c>
      <c r="D52" s="560">
        <v>0</v>
      </c>
      <c r="E52" s="560">
        <v>0</v>
      </c>
      <c r="F52" s="560">
        <v>0</v>
      </c>
      <c r="G52" s="560">
        <v>0</v>
      </c>
      <c r="H52" s="560">
        <v>0</v>
      </c>
      <c r="I52" s="560">
        <v>0</v>
      </c>
      <c r="J52" s="560">
        <v>13</v>
      </c>
      <c r="K52" s="560">
        <v>0</v>
      </c>
      <c r="L52" s="560">
        <v>0</v>
      </c>
      <c r="M52" s="560">
        <v>0</v>
      </c>
      <c r="N52" s="560">
        <v>0</v>
      </c>
      <c r="O52" s="560">
        <v>0</v>
      </c>
      <c r="P52" s="560">
        <v>0</v>
      </c>
      <c r="Q52" s="560">
        <v>0</v>
      </c>
      <c r="R52" s="560">
        <v>13</v>
      </c>
      <c r="S52" s="560">
        <v>0</v>
      </c>
      <c r="T52" s="561"/>
      <c r="U52" s="561"/>
      <c r="V52" s="558"/>
    </row>
    <row r="53" spans="1:22" s="557" customFormat="1">
      <c r="A53" s="559"/>
      <c r="B53" s="609" t="s">
        <v>485</v>
      </c>
      <c r="C53" s="607" t="s">
        <v>486</v>
      </c>
      <c r="D53" s="560">
        <v>0</v>
      </c>
      <c r="E53" s="560">
        <v>0</v>
      </c>
      <c r="F53" s="560">
        <v>0</v>
      </c>
      <c r="G53" s="560">
        <v>0</v>
      </c>
      <c r="H53" s="560">
        <v>0</v>
      </c>
      <c r="I53" s="560">
        <v>0</v>
      </c>
      <c r="J53" s="560">
        <v>14</v>
      </c>
      <c r="K53" s="560">
        <v>0</v>
      </c>
      <c r="L53" s="560">
        <v>0</v>
      </c>
      <c r="M53" s="560">
        <v>0</v>
      </c>
      <c r="N53" s="560">
        <v>0</v>
      </c>
      <c r="O53" s="560">
        <v>0</v>
      </c>
      <c r="P53" s="560">
        <v>0</v>
      </c>
      <c r="Q53" s="560">
        <v>0</v>
      </c>
      <c r="R53" s="560">
        <v>0</v>
      </c>
      <c r="S53" s="560">
        <v>0</v>
      </c>
      <c r="T53" s="561"/>
      <c r="U53" s="561"/>
      <c r="V53" s="558"/>
    </row>
    <row r="54" spans="1:22" s="557" customFormat="1">
      <c r="B54" s="562" t="s">
        <v>341</v>
      </c>
      <c r="C54" s="563" t="s">
        <v>2</v>
      </c>
      <c r="D54" s="563">
        <f t="shared" ref="D54:S54" si="55">SUM(D51:D53)</f>
        <v>0</v>
      </c>
      <c r="E54" s="563">
        <f t="shared" si="55"/>
        <v>0</v>
      </c>
      <c r="F54" s="563">
        <f t="shared" si="55"/>
        <v>0</v>
      </c>
      <c r="G54" s="563">
        <f t="shared" si="55"/>
        <v>0</v>
      </c>
      <c r="H54" s="563">
        <f t="shared" si="55"/>
        <v>0</v>
      </c>
      <c r="I54" s="563">
        <f t="shared" si="55"/>
        <v>0</v>
      </c>
      <c r="J54" s="563">
        <f t="shared" si="55"/>
        <v>43</v>
      </c>
      <c r="K54" s="563">
        <f t="shared" si="55"/>
        <v>0</v>
      </c>
      <c r="L54" s="563">
        <f t="shared" si="55"/>
        <v>0</v>
      </c>
      <c r="M54" s="563">
        <f t="shared" si="55"/>
        <v>0</v>
      </c>
      <c r="N54" s="563">
        <f t="shared" si="55"/>
        <v>0</v>
      </c>
      <c r="O54" s="563">
        <f t="shared" si="55"/>
        <v>0</v>
      </c>
      <c r="P54" s="563">
        <f t="shared" si="55"/>
        <v>0</v>
      </c>
      <c r="Q54" s="563">
        <f t="shared" si="55"/>
        <v>0</v>
      </c>
      <c r="R54" s="563">
        <f t="shared" si="55"/>
        <v>29</v>
      </c>
      <c r="S54" s="563">
        <f t="shared" si="55"/>
        <v>0</v>
      </c>
      <c r="T54" s="564"/>
      <c r="U54" s="564"/>
      <c r="V54" s="565"/>
    </row>
    <row r="55" spans="1:22" s="557" customFormat="1">
      <c r="E55" s="566"/>
      <c r="F55" s="566"/>
      <c r="G55" s="566"/>
      <c r="H55" s="566"/>
      <c r="I55" s="566"/>
      <c r="J55" s="566"/>
      <c r="K55" s="566"/>
      <c r="L55" s="566"/>
      <c r="M55" s="566"/>
      <c r="N55" s="566"/>
      <c r="O55" s="566"/>
      <c r="P55" s="566"/>
      <c r="Q55" s="566"/>
      <c r="R55" s="566"/>
      <c r="S55" s="566"/>
    </row>
    <row r="56" spans="1:22">
      <c r="A56" s="269" t="s">
        <v>339</v>
      </c>
      <c r="B56" s="512" t="str">
        <f>B49</f>
        <v>Wariant elektryczny 1</v>
      </c>
      <c r="C56" s="513" t="s">
        <v>359</v>
      </c>
      <c r="D56" s="513" t="s">
        <v>358</v>
      </c>
      <c r="E56" s="514">
        <f t="shared" ref="E56:T56" si="56">D49</f>
        <v>2021</v>
      </c>
      <c r="F56" s="514">
        <f t="shared" si="56"/>
        <v>2022</v>
      </c>
      <c r="G56" s="514">
        <f t="shared" si="56"/>
        <v>2023</v>
      </c>
      <c r="H56" s="514">
        <f t="shared" si="56"/>
        <v>2024</v>
      </c>
      <c r="I56" s="514">
        <f t="shared" si="56"/>
        <v>2025</v>
      </c>
      <c r="J56" s="514">
        <f t="shared" si="56"/>
        <v>2026</v>
      </c>
      <c r="K56" s="514">
        <f t="shared" si="56"/>
        <v>2027</v>
      </c>
      <c r="L56" s="514">
        <f t="shared" si="56"/>
        <v>2028</v>
      </c>
      <c r="M56" s="514">
        <f t="shared" si="56"/>
        <v>2029</v>
      </c>
      <c r="N56" s="514">
        <f t="shared" si="56"/>
        <v>2030</v>
      </c>
      <c r="O56" s="514">
        <f t="shared" si="56"/>
        <v>2031</v>
      </c>
      <c r="P56" s="514">
        <f t="shared" si="56"/>
        <v>2032</v>
      </c>
      <c r="Q56" s="514">
        <f t="shared" si="56"/>
        <v>2033</v>
      </c>
      <c r="R56" s="514">
        <f t="shared" si="56"/>
        <v>2034</v>
      </c>
      <c r="S56" s="514">
        <f t="shared" si="56"/>
        <v>2035</v>
      </c>
      <c r="T56" s="514">
        <f t="shared" si="56"/>
        <v>2036</v>
      </c>
      <c r="U56" s="12"/>
      <c r="V56" s="12"/>
    </row>
    <row r="57" spans="1:22" s="557" customFormat="1">
      <c r="A57" s="567"/>
      <c r="B57" s="608" t="s">
        <v>357</v>
      </c>
      <c r="C57" s="387"/>
      <c r="D57" s="388"/>
      <c r="E57" s="568"/>
      <c r="F57" s="568"/>
      <c r="G57" s="568"/>
      <c r="H57" s="568"/>
      <c r="I57" s="568"/>
      <c r="J57" s="568"/>
      <c r="K57" s="568"/>
      <c r="L57" s="568"/>
      <c r="M57" s="568"/>
      <c r="N57" s="568"/>
      <c r="O57" s="568"/>
      <c r="P57" s="569"/>
      <c r="Q57" s="569"/>
      <c r="R57" s="568"/>
      <c r="S57" s="567"/>
      <c r="T57" s="567"/>
      <c r="U57" s="570"/>
      <c r="V57" s="570"/>
    </row>
    <row r="58" spans="1:22" s="557" customFormat="1">
      <c r="A58" s="559"/>
      <c r="B58" s="609" t="s">
        <v>484</v>
      </c>
      <c r="C58" s="607" t="s">
        <v>479</v>
      </c>
      <c r="D58" s="390">
        <f>Założenia!E201</f>
        <v>590000</v>
      </c>
      <c r="E58" s="386">
        <f>$D58*D51</f>
        <v>0</v>
      </c>
      <c r="F58" s="386">
        <f t="shared" ref="F58:T58" si="57">$D58*E51</f>
        <v>0</v>
      </c>
      <c r="G58" s="386">
        <f t="shared" si="57"/>
        <v>0</v>
      </c>
      <c r="H58" s="386">
        <f t="shared" si="57"/>
        <v>0</v>
      </c>
      <c r="I58" s="386">
        <f t="shared" si="57"/>
        <v>0</v>
      </c>
      <c r="J58" s="386">
        <f t="shared" si="57"/>
        <v>0</v>
      </c>
      <c r="K58" s="386">
        <f t="shared" si="57"/>
        <v>9440000</v>
      </c>
      <c r="L58" s="386">
        <f t="shared" si="57"/>
        <v>0</v>
      </c>
      <c r="M58" s="386">
        <f t="shared" si="57"/>
        <v>0</v>
      </c>
      <c r="N58" s="386">
        <f t="shared" si="57"/>
        <v>0</v>
      </c>
      <c r="O58" s="386">
        <f t="shared" si="57"/>
        <v>0</v>
      </c>
      <c r="P58" s="386">
        <f t="shared" si="57"/>
        <v>0</v>
      </c>
      <c r="Q58" s="386">
        <f t="shared" si="57"/>
        <v>0</v>
      </c>
      <c r="R58" s="386">
        <f t="shared" si="57"/>
        <v>0</v>
      </c>
      <c r="S58" s="386">
        <f t="shared" si="57"/>
        <v>9440000</v>
      </c>
      <c r="T58" s="386">
        <f t="shared" si="57"/>
        <v>0</v>
      </c>
      <c r="U58" s="392"/>
      <c r="V58" s="392"/>
    </row>
    <row r="59" spans="1:22" s="557" customFormat="1">
      <c r="A59" s="559"/>
      <c r="B59" s="609" t="s">
        <v>512</v>
      </c>
      <c r="C59" s="607" t="s">
        <v>511</v>
      </c>
      <c r="D59" s="390">
        <f>Założenia!E202</f>
        <v>900000</v>
      </c>
      <c r="E59" s="386">
        <f t="shared" ref="E59:T59" si="58">$D59*D52</f>
        <v>0</v>
      </c>
      <c r="F59" s="386">
        <f t="shared" si="58"/>
        <v>0</v>
      </c>
      <c r="G59" s="386">
        <f t="shared" si="58"/>
        <v>0</v>
      </c>
      <c r="H59" s="386">
        <f t="shared" si="58"/>
        <v>0</v>
      </c>
      <c r="I59" s="386">
        <f t="shared" si="58"/>
        <v>0</v>
      </c>
      <c r="J59" s="386">
        <f t="shared" si="58"/>
        <v>0</v>
      </c>
      <c r="K59" s="386">
        <f t="shared" si="58"/>
        <v>11700000</v>
      </c>
      <c r="L59" s="386">
        <f t="shared" si="58"/>
        <v>0</v>
      </c>
      <c r="M59" s="386">
        <f t="shared" si="58"/>
        <v>0</v>
      </c>
      <c r="N59" s="386">
        <f t="shared" si="58"/>
        <v>0</v>
      </c>
      <c r="O59" s="386">
        <f t="shared" si="58"/>
        <v>0</v>
      </c>
      <c r="P59" s="386">
        <f t="shared" si="58"/>
        <v>0</v>
      </c>
      <c r="Q59" s="386">
        <f t="shared" si="58"/>
        <v>0</v>
      </c>
      <c r="R59" s="386">
        <f t="shared" si="58"/>
        <v>0</v>
      </c>
      <c r="S59" s="386">
        <f t="shared" si="58"/>
        <v>11700000</v>
      </c>
      <c r="T59" s="386">
        <f t="shared" si="58"/>
        <v>0</v>
      </c>
      <c r="U59" s="392"/>
      <c r="V59" s="392"/>
    </row>
    <row r="60" spans="1:22" s="557" customFormat="1">
      <c r="A60" s="559"/>
      <c r="B60" s="609" t="s">
        <v>485</v>
      </c>
      <c r="C60" s="607" t="s">
        <v>486</v>
      </c>
      <c r="D60" s="390">
        <f>Założenia!E203</f>
        <v>2180000</v>
      </c>
      <c r="E60" s="386">
        <f>$D60*D53</f>
        <v>0</v>
      </c>
      <c r="F60" s="386">
        <f t="shared" ref="F60:T60" si="59">$D60*E53</f>
        <v>0</v>
      </c>
      <c r="G60" s="386">
        <f t="shared" si="59"/>
        <v>0</v>
      </c>
      <c r="H60" s="386">
        <f t="shared" si="59"/>
        <v>0</v>
      </c>
      <c r="I60" s="386">
        <f t="shared" si="59"/>
        <v>0</v>
      </c>
      <c r="J60" s="386">
        <f t="shared" si="59"/>
        <v>0</v>
      </c>
      <c r="K60" s="386">
        <f t="shared" si="59"/>
        <v>30520000</v>
      </c>
      <c r="L60" s="386">
        <f t="shared" si="59"/>
        <v>0</v>
      </c>
      <c r="M60" s="386">
        <f t="shared" si="59"/>
        <v>0</v>
      </c>
      <c r="N60" s="386">
        <f t="shared" si="59"/>
        <v>0</v>
      </c>
      <c r="O60" s="386">
        <f t="shared" si="59"/>
        <v>0</v>
      </c>
      <c r="P60" s="386">
        <f t="shared" si="59"/>
        <v>0</v>
      </c>
      <c r="Q60" s="386">
        <f t="shared" si="59"/>
        <v>0</v>
      </c>
      <c r="R60" s="386">
        <f t="shared" si="59"/>
        <v>0</v>
      </c>
      <c r="S60" s="386">
        <f t="shared" si="59"/>
        <v>0</v>
      </c>
      <c r="T60" s="386">
        <f t="shared" si="59"/>
        <v>0</v>
      </c>
      <c r="U60" s="392"/>
      <c r="V60" s="392"/>
    </row>
    <row r="61" spans="1:22" s="13" customFormat="1">
      <c r="B61" s="391" t="s">
        <v>341</v>
      </c>
      <c r="C61" s="395" t="s">
        <v>2</v>
      </c>
      <c r="D61" s="395" t="s">
        <v>2</v>
      </c>
      <c r="E61" s="102">
        <f t="shared" ref="E61:T61" si="60">SUM(E58:E60)</f>
        <v>0</v>
      </c>
      <c r="F61" s="102">
        <f t="shared" si="60"/>
        <v>0</v>
      </c>
      <c r="G61" s="102">
        <f t="shared" si="60"/>
        <v>0</v>
      </c>
      <c r="H61" s="102">
        <f t="shared" si="60"/>
        <v>0</v>
      </c>
      <c r="I61" s="102">
        <f t="shared" si="60"/>
        <v>0</v>
      </c>
      <c r="J61" s="102">
        <f t="shared" si="60"/>
        <v>0</v>
      </c>
      <c r="K61" s="102">
        <f t="shared" si="60"/>
        <v>51660000</v>
      </c>
      <c r="L61" s="102">
        <f t="shared" si="60"/>
        <v>0</v>
      </c>
      <c r="M61" s="102">
        <f t="shared" si="60"/>
        <v>0</v>
      </c>
      <c r="N61" s="102">
        <f t="shared" si="60"/>
        <v>0</v>
      </c>
      <c r="O61" s="102">
        <f t="shared" si="60"/>
        <v>0</v>
      </c>
      <c r="P61" s="102">
        <f t="shared" si="60"/>
        <v>0</v>
      </c>
      <c r="Q61" s="102">
        <f t="shared" si="60"/>
        <v>0</v>
      </c>
      <c r="R61" s="102">
        <f t="shared" si="60"/>
        <v>0</v>
      </c>
      <c r="S61" s="102">
        <f t="shared" si="60"/>
        <v>21140000</v>
      </c>
      <c r="T61" s="102">
        <f t="shared" si="60"/>
        <v>0</v>
      </c>
      <c r="U61" s="393"/>
      <c r="V61" s="393"/>
    </row>
    <row r="62" spans="1:22">
      <c r="C62" s="7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571"/>
      <c r="V62" s="571"/>
    </row>
    <row r="63" spans="1:22">
      <c r="A63" s="269" t="s">
        <v>339</v>
      </c>
      <c r="B63" s="512" t="str">
        <f>B56</f>
        <v>Wariant elektryczny 1</v>
      </c>
      <c r="C63" s="513"/>
      <c r="D63" s="513"/>
      <c r="E63" s="514">
        <f>E56</f>
        <v>2021</v>
      </c>
      <c r="F63" s="514">
        <f>E63+1</f>
        <v>2022</v>
      </c>
      <c r="G63" s="514">
        <f t="shared" ref="G63:T63" si="61">F63+1</f>
        <v>2023</v>
      </c>
      <c r="H63" s="514">
        <f t="shared" si="61"/>
        <v>2024</v>
      </c>
      <c r="I63" s="514">
        <f t="shared" si="61"/>
        <v>2025</v>
      </c>
      <c r="J63" s="514">
        <f t="shared" si="61"/>
        <v>2026</v>
      </c>
      <c r="K63" s="514">
        <f t="shared" si="61"/>
        <v>2027</v>
      </c>
      <c r="L63" s="514">
        <f t="shared" si="61"/>
        <v>2028</v>
      </c>
      <c r="M63" s="514">
        <f t="shared" si="61"/>
        <v>2029</v>
      </c>
      <c r="N63" s="514">
        <f t="shared" si="61"/>
        <v>2030</v>
      </c>
      <c r="O63" s="514">
        <f t="shared" si="61"/>
        <v>2031</v>
      </c>
      <c r="P63" s="514">
        <f t="shared" si="61"/>
        <v>2032</v>
      </c>
      <c r="Q63" s="514">
        <f t="shared" si="61"/>
        <v>2033</v>
      </c>
      <c r="R63" s="514">
        <f t="shared" si="61"/>
        <v>2034</v>
      </c>
      <c r="S63" s="514">
        <f t="shared" si="61"/>
        <v>2035</v>
      </c>
      <c r="T63" s="514">
        <f t="shared" si="61"/>
        <v>2036</v>
      </c>
    </row>
    <row r="64" spans="1:22">
      <c r="E64" s="475"/>
    </row>
    <row r="65" spans="1:20">
      <c r="A65" s="114"/>
      <c r="B65" s="405" t="s">
        <v>33</v>
      </c>
      <c r="C65" s="97"/>
      <c r="D65" s="97"/>
      <c r="E65" s="577"/>
      <c r="F65" s="577"/>
      <c r="G65" s="577"/>
      <c r="H65" s="577"/>
      <c r="I65" s="577"/>
      <c r="J65" s="577"/>
      <c r="K65" s="577"/>
      <c r="L65" s="577"/>
      <c r="M65" s="577"/>
      <c r="N65" s="577"/>
      <c r="O65" s="577"/>
      <c r="P65" s="577"/>
      <c r="Q65" s="577"/>
      <c r="R65" s="577"/>
      <c r="S65" s="577"/>
      <c r="T65" s="577"/>
    </row>
    <row r="66" spans="1:20">
      <c r="A66" s="114"/>
      <c r="B66" s="284" t="s">
        <v>355</v>
      </c>
      <c r="C66" s="409" t="s">
        <v>47</v>
      </c>
      <c r="D66" s="97"/>
      <c r="E66" s="573">
        <f>E61</f>
        <v>0</v>
      </c>
      <c r="F66" s="573">
        <f>F61</f>
        <v>0</v>
      </c>
      <c r="G66" s="573">
        <f t="shared" ref="G66:T66" si="62">G61</f>
        <v>0</v>
      </c>
      <c r="H66" s="573">
        <f t="shared" si="62"/>
        <v>0</v>
      </c>
      <c r="I66" s="573">
        <f t="shared" si="62"/>
        <v>0</v>
      </c>
      <c r="J66" s="573">
        <f t="shared" si="62"/>
        <v>0</v>
      </c>
      <c r="K66" s="573">
        <f t="shared" si="62"/>
        <v>51660000</v>
      </c>
      <c r="L66" s="573">
        <f t="shared" si="62"/>
        <v>0</v>
      </c>
      <c r="M66" s="573">
        <f t="shared" si="62"/>
        <v>0</v>
      </c>
      <c r="N66" s="573">
        <f t="shared" si="62"/>
        <v>0</v>
      </c>
      <c r="O66" s="573">
        <f t="shared" si="62"/>
        <v>0</v>
      </c>
      <c r="P66" s="573">
        <f t="shared" si="62"/>
        <v>0</v>
      </c>
      <c r="Q66" s="573">
        <f t="shared" si="62"/>
        <v>0</v>
      </c>
      <c r="R66" s="573">
        <f t="shared" si="62"/>
        <v>0</v>
      </c>
      <c r="S66" s="573">
        <f t="shared" si="62"/>
        <v>21140000</v>
      </c>
      <c r="T66" s="573">
        <f t="shared" si="62"/>
        <v>0</v>
      </c>
    </row>
    <row r="67" spans="1:20" ht="13.5" customHeight="1">
      <c r="A67" s="114"/>
      <c r="B67" s="284" t="s">
        <v>42</v>
      </c>
      <c r="C67" s="409" t="s">
        <v>47</v>
      </c>
      <c r="D67" s="406"/>
      <c r="E67" s="573">
        <v>0</v>
      </c>
      <c r="F67" s="573">
        <v>0</v>
      </c>
      <c r="G67" s="573">
        <v>0</v>
      </c>
      <c r="H67" s="573">
        <v>0</v>
      </c>
      <c r="I67" s="573">
        <v>0</v>
      </c>
      <c r="J67" s="573">
        <v>0</v>
      </c>
      <c r="K67" s="573">
        <v>3650000</v>
      </c>
      <c r="L67" s="573">
        <v>0</v>
      </c>
      <c r="M67" s="573">
        <v>0</v>
      </c>
      <c r="N67" s="573">
        <v>0</v>
      </c>
      <c r="O67" s="573">
        <v>0</v>
      </c>
      <c r="P67" s="573">
        <v>0</v>
      </c>
      <c r="Q67" s="573">
        <v>0</v>
      </c>
      <c r="R67" s="573">
        <v>0</v>
      </c>
      <c r="S67" s="573">
        <v>0</v>
      </c>
      <c r="T67" s="573">
        <v>0</v>
      </c>
    </row>
    <row r="68" spans="1:20">
      <c r="A68" s="114"/>
      <c r="B68" s="97" t="s">
        <v>360</v>
      </c>
      <c r="C68" s="409" t="s">
        <v>47</v>
      </c>
      <c r="D68" s="97"/>
      <c r="E68" s="573">
        <v>0</v>
      </c>
      <c r="F68" s="573">
        <v>0</v>
      </c>
      <c r="G68" s="573">
        <v>0</v>
      </c>
      <c r="H68" s="573">
        <v>0</v>
      </c>
      <c r="I68" s="573">
        <v>0</v>
      </c>
      <c r="J68" s="573">
        <v>0</v>
      </c>
      <c r="K68" s="573">
        <v>0</v>
      </c>
      <c r="L68" s="573">
        <v>0</v>
      </c>
      <c r="M68" s="573">
        <v>0</v>
      </c>
      <c r="N68" s="573">
        <v>0</v>
      </c>
      <c r="O68" s="573">
        <v>0</v>
      </c>
      <c r="P68" s="573">
        <v>0</v>
      </c>
      <c r="Q68" s="573">
        <v>0</v>
      </c>
      <c r="R68" s="573">
        <v>0</v>
      </c>
      <c r="S68" s="573">
        <v>1064000</v>
      </c>
      <c r="T68" s="573">
        <v>0</v>
      </c>
    </row>
    <row r="69" spans="1:20">
      <c r="A69" s="114"/>
      <c r="B69" s="97" t="s">
        <v>363</v>
      </c>
      <c r="C69" s="409" t="s">
        <v>48</v>
      </c>
      <c r="D69" s="97"/>
      <c r="E69" s="573"/>
      <c r="F69" s="574"/>
      <c r="G69" s="29"/>
      <c r="H69" s="97"/>
      <c r="I69" s="97"/>
      <c r="J69" s="97"/>
      <c r="K69" s="97">
        <v>3</v>
      </c>
      <c r="L69" s="97">
        <f>K69</f>
        <v>3</v>
      </c>
      <c r="M69" s="97">
        <f t="shared" ref="M69:T69" si="63">L69</f>
        <v>3</v>
      </c>
      <c r="N69" s="97">
        <f t="shared" si="63"/>
        <v>3</v>
      </c>
      <c r="O69" s="97">
        <f t="shared" si="63"/>
        <v>3</v>
      </c>
      <c r="P69" s="97">
        <f t="shared" si="63"/>
        <v>3</v>
      </c>
      <c r="Q69" s="97">
        <f t="shared" si="63"/>
        <v>3</v>
      </c>
      <c r="R69" s="97">
        <f t="shared" si="63"/>
        <v>3</v>
      </c>
      <c r="S69" s="97">
        <f t="shared" si="63"/>
        <v>3</v>
      </c>
      <c r="T69" s="97">
        <f t="shared" si="63"/>
        <v>3</v>
      </c>
    </row>
    <row r="70" spans="1:20">
      <c r="A70" s="114"/>
      <c r="B70" s="97" t="s">
        <v>364</v>
      </c>
      <c r="C70" s="409" t="s">
        <v>48</v>
      </c>
      <c r="D70" s="97"/>
      <c r="E70" s="575"/>
      <c r="F70" s="97"/>
      <c r="G70" s="97"/>
      <c r="H70" s="97"/>
      <c r="I70" s="97"/>
      <c r="J70" s="97"/>
      <c r="K70" s="97">
        <v>14</v>
      </c>
      <c r="L70" s="97">
        <f>K70</f>
        <v>14</v>
      </c>
      <c r="M70" s="97">
        <f t="shared" ref="M70:T70" si="64">L70</f>
        <v>14</v>
      </c>
      <c r="N70" s="97">
        <f t="shared" si="64"/>
        <v>14</v>
      </c>
      <c r="O70" s="97">
        <f t="shared" si="64"/>
        <v>14</v>
      </c>
      <c r="P70" s="97">
        <f t="shared" si="64"/>
        <v>14</v>
      </c>
      <c r="Q70" s="97">
        <f t="shared" si="64"/>
        <v>14</v>
      </c>
      <c r="R70" s="97">
        <f t="shared" si="64"/>
        <v>14</v>
      </c>
      <c r="S70" s="97">
        <f t="shared" si="64"/>
        <v>14</v>
      </c>
      <c r="T70" s="97">
        <f t="shared" si="64"/>
        <v>14</v>
      </c>
    </row>
    <row r="71" spans="1:20">
      <c r="A71" s="6"/>
      <c r="B71" s="408"/>
      <c r="C71" s="410"/>
      <c r="D71" s="408"/>
      <c r="E71" s="475"/>
      <c r="F71" s="475"/>
      <c r="G71" s="475"/>
      <c r="H71" s="475"/>
      <c r="I71" s="475"/>
      <c r="J71" s="475"/>
      <c r="K71" s="475"/>
      <c r="L71" s="475"/>
      <c r="M71" s="475"/>
      <c r="N71" s="475"/>
      <c r="O71" s="475"/>
      <c r="P71" s="475"/>
      <c r="Q71" s="475"/>
      <c r="R71" s="475"/>
      <c r="S71" s="475"/>
      <c r="T71" s="475"/>
    </row>
    <row r="72" spans="1:20" ht="12.75" customHeight="1">
      <c r="A72" s="114"/>
      <c r="B72" s="284" t="s">
        <v>287</v>
      </c>
      <c r="C72" s="645"/>
      <c r="D72" s="645"/>
      <c r="E72" s="576"/>
      <c r="F72" s="576"/>
      <c r="G72" s="576"/>
      <c r="H72" s="576"/>
      <c r="I72" s="576"/>
      <c r="J72" s="576"/>
      <c r="K72" s="576"/>
    </row>
    <row r="73" spans="1:20">
      <c r="A73" s="114"/>
      <c r="B73" s="284" t="s">
        <v>288</v>
      </c>
      <c r="C73" s="99">
        <v>2000</v>
      </c>
      <c r="D73" s="97" t="s">
        <v>46</v>
      </c>
      <c r="E73" s="572"/>
      <c r="F73" s="572"/>
      <c r="G73" s="572"/>
      <c r="H73" s="572"/>
      <c r="I73" s="576"/>
      <c r="J73" s="576"/>
      <c r="K73" s="576"/>
    </row>
    <row r="74" spans="1:20" ht="12" customHeight="1">
      <c r="A74" s="114"/>
      <c r="B74" s="97" t="s">
        <v>289</v>
      </c>
      <c r="C74" s="99">
        <v>6000</v>
      </c>
      <c r="D74" s="97" t="s">
        <v>46</v>
      </c>
      <c r="E74" s="572"/>
      <c r="F74" s="572"/>
      <c r="G74" s="572"/>
      <c r="H74" s="572"/>
      <c r="I74" s="576"/>
      <c r="J74" s="576"/>
      <c r="K74" s="576"/>
    </row>
    <row r="75" spans="1:20">
      <c r="A75" s="6"/>
      <c r="B75" s="97"/>
      <c r="C75" s="97"/>
      <c r="D75" s="97"/>
      <c r="E75" s="100"/>
    </row>
    <row r="76" spans="1:20">
      <c r="A76" s="114"/>
      <c r="B76" s="97" t="s">
        <v>463</v>
      </c>
      <c r="C76" s="97">
        <v>15</v>
      </c>
      <c r="D76" s="97" t="s">
        <v>59</v>
      </c>
      <c r="E76" s="577"/>
      <c r="F76" s="577"/>
      <c r="G76" s="577"/>
      <c r="H76" s="577"/>
      <c r="I76" s="577"/>
      <c r="J76" s="577"/>
      <c r="K76" s="577"/>
      <c r="L76" s="577"/>
      <c r="M76" s="577"/>
      <c r="N76" s="577"/>
      <c r="O76" s="577"/>
      <c r="P76" s="577"/>
      <c r="Q76" s="577"/>
      <c r="R76" s="577"/>
      <c r="S76" s="577"/>
      <c r="T76" s="577"/>
    </row>
    <row r="77" spans="1:20">
      <c r="A77" s="114"/>
      <c r="B77" s="97" t="s">
        <v>226</v>
      </c>
      <c r="C77" s="97">
        <v>15</v>
      </c>
      <c r="D77" s="97" t="s">
        <v>59</v>
      </c>
      <c r="E77" s="576"/>
      <c r="F77" s="576"/>
      <c r="G77" s="576"/>
      <c r="H77" s="576"/>
      <c r="I77" s="576"/>
      <c r="J77" s="576"/>
      <c r="Q77" s="10"/>
    </row>
    <row r="79" spans="1:20">
      <c r="C79" s="10"/>
    </row>
    <row r="80" spans="1:20">
      <c r="A80" s="269" t="s">
        <v>415</v>
      </c>
      <c r="B80" s="389" t="s">
        <v>444</v>
      </c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</row>
    <row r="81" spans="1:22">
      <c r="E81" s="100"/>
    </row>
    <row r="82" spans="1:22">
      <c r="A82" s="269" t="s">
        <v>415</v>
      </c>
      <c r="B82" s="512" t="str">
        <f>B80</f>
        <v>Wariant elektryczny 2</v>
      </c>
      <c r="C82" s="513" t="s">
        <v>359</v>
      </c>
      <c r="D82" s="513">
        <f>D49</f>
        <v>2021</v>
      </c>
      <c r="E82" s="514">
        <f>D82+1</f>
        <v>2022</v>
      </c>
      <c r="F82" s="514">
        <f>E82+1</f>
        <v>2023</v>
      </c>
      <c r="G82" s="514">
        <f t="shared" ref="G82:S82" si="65">F82+1</f>
        <v>2024</v>
      </c>
      <c r="H82" s="514">
        <f t="shared" si="65"/>
        <v>2025</v>
      </c>
      <c r="I82" s="514">
        <f t="shared" si="65"/>
        <v>2026</v>
      </c>
      <c r="J82" s="514">
        <f t="shared" si="65"/>
        <v>2027</v>
      </c>
      <c r="K82" s="514">
        <f t="shared" si="65"/>
        <v>2028</v>
      </c>
      <c r="L82" s="514">
        <f t="shared" si="65"/>
        <v>2029</v>
      </c>
      <c r="M82" s="514">
        <f t="shared" si="65"/>
        <v>2030</v>
      </c>
      <c r="N82" s="514">
        <f t="shared" si="65"/>
        <v>2031</v>
      </c>
      <c r="O82" s="514">
        <f t="shared" si="65"/>
        <v>2032</v>
      </c>
      <c r="P82" s="514">
        <f t="shared" si="65"/>
        <v>2033</v>
      </c>
      <c r="Q82" s="514">
        <f t="shared" si="65"/>
        <v>2034</v>
      </c>
      <c r="R82" s="514">
        <f t="shared" si="65"/>
        <v>2035</v>
      </c>
      <c r="S82" s="514">
        <f t="shared" si="65"/>
        <v>2036</v>
      </c>
      <c r="T82" s="394"/>
      <c r="U82" s="394"/>
      <c r="V82" s="4"/>
    </row>
    <row r="83" spans="1:22" s="557" customFormat="1">
      <c r="B83" s="608" t="s">
        <v>356</v>
      </c>
      <c r="E83" s="388"/>
      <c r="F83" s="388"/>
      <c r="G83" s="388"/>
      <c r="H83" s="388"/>
      <c r="I83" s="388"/>
      <c r="J83" s="388"/>
      <c r="K83" s="388"/>
      <c r="L83" s="388"/>
      <c r="M83" s="388"/>
      <c r="N83" s="388"/>
      <c r="O83" s="388"/>
      <c r="P83" s="388"/>
      <c r="Q83" s="388"/>
      <c r="R83" s="388"/>
      <c r="S83" s="388"/>
      <c r="T83" s="558"/>
      <c r="U83" s="558"/>
      <c r="V83" s="558"/>
    </row>
    <row r="84" spans="1:22" s="557" customFormat="1">
      <c r="A84" s="559"/>
      <c r="B84" s="609" t="s">
        <v>484</v>
      </c>
      <c r="C84" s="607" t="s">
        <v>479</v>
      </c>
      <c r="D84" s="390">
        <v>0</v>
      </c>
      <c r="E84" s="390">
        <v>0</v>
      </c>
      <c r="F84" s="390">
        <v>0</v>
      </c>
      <c r="G84" s="390">
        <v>0</v>
      </c>
      <c r="H84" s="390">
        <v>0</v>
      </c>
      <c r="I84" s="390">
        <v>0</v>
      </c>
      <c r="J84" s="390">
        <v>16</v>
      </c>
      <c r="K84" s="390">
        <v>0</v>
      </c>
      <c r="L84" s="390">
        <v>0</v>
      </c>
      <c r="M84" s="390">
        <v>0</v>
      </c>
      <c r="N84" s="390">
        <v>0</v>
      </c>
      <c r="O84" s="390">
        <v>0</v>
      </c>
      <c r="P84" s="390">
        <v>0</v>
      </c>
      <c r="Q84" s="390">
        <v>0</v>
      </c>
      <c r="R84" s="390">
        <v>16</v>
      </c>
      <c r="S84" s="390">
        <v>0</v>
      </c>
      <c r="T84" s="392"/>
      <c r="U84" s="392"/>
      <c r="V84" s="392"/>
    </row>
    <row r="85" spans="1:22" s="557" customFormat="1">
      <c r="A85" s="559"/>
      <c r="B85" s="609" t="s">
        <v>512</v>
      </c>
      <c r="C85" s="607" t="s">
        <v>511</v>
      </c>
      <c r="D85" s="390">
        <v>0</v>
      </c>
      <c r="E85" s="390">
        <v>0</v>
      </c>
      <c r="F85" s="390">
        <v>0</v>
      </c>
      <c r="G85" s="390">
        <v>0</v>
      </c>
      <c r="H85" s="390">
        <v>0</v>
      </c>
      <c r="I85" s="390">
        <v>0</v>
      </c>
      <c r="J85" s="390">
        <v>12</v>
      </c>
      <c r="K85" s="390">
        <v>0</v>
      </c>
      <c r="L85" s="390">
        <v>0</v>
      </c>
      <c r="M85" s="390">
        <v>0</v>
      </c>
      <c r="N85" s="390">
        <v>0</v>
      </c>
      <c r="O85" s="390">
        <v>0</v>
      </c>
      <c r="P85" s="390">
        <v>0</v>
      </c>
      <c r="Q85" s="390">
        <v>0</v>
      </c>
      <c r="R85" s="390">
        <v>12</v>
      </c>
      <c r="S85" s="390">
        <v>0</v>
      </c>
      <c r="T85" s="392"/>
      <c r="U85" s="392"/>
      <c r="V85" s="392"/>
    </row>
    <row r="86" spans="1:22" s="557" customFormat="1">
      <c r="A86" s="559"/>
      <c r="B86" s="609" t="s">
        <v>425</v>
      </c>
      <c r="C86" s="607" t="s">
        <v>498</v>
      </c>
      <c r="D86" s="390">
        <v>0</v>
      </c>
      <c r="E86" s="390">
        <v>0</v>
      </c>
      <c r="F86" s="390">
        <v>0</v>
      </c>
      <c r="G86" s="390">
        <v>0</v>
      </c>
      <c r="H86" s="390">
        <v>0</v>
      </c>
      <c r="I86" s="390">
        <v>0</v>
      </c>
      <c r="J86" s="390">
        <v>13</v>
      </c>
      <c r="K86" s="390">
        <v>0</v>
      </c>
      <c r="L86" s="390">
        <v>0</v>
      </c>
      <c r="M86" s="390">
        <v>0</v>
      </c>
      <c r="N86" s="390">
        <v>0</v>
      </c>
      <c r="O86" s="390">
        <v>0</v>
      </c>
      <c r="P86" s="390">
        <v>0</v>
      </c>
      <c r="Q86" s="390">
        <v>0</v>
      </c>
      <c r="R86" s="390">
        <v>0</v>
      </c>
      <c r="S86" s="390">
        <v>0</v>
      </c>
      <c r="T86" s="392"/>
      <c r="U86" s="392"/>
      <c r="V86" s="392"/>
    </row>
    <row r="87" spans="1:22" s="557" customFormat="1">
      <c r="B87" s="562" t="s">
        <v>341</v>
      </c>
      <c r="C87" s="610" t="s">
        <v>2</v>
      </c>
      <c r="D87" s="578">
        <f t="shared" ref="D87:S87" si="66">SUM(D84:D86)</f>
        <v>0</v>
      </c>
      <c r="E87" s="578">
        <f t="shared" si="66"/>
        <v>0</v>
      </c>
      <c r="F87" s="578">
        <f t="shared" si="66"/>
        <v>0</v>
      </c>
      <c r="G87" s="578">
        <f t="shared" si="66"/>
        <v>0</v>
      </c>
      <c r="H87" s="578">
        <f t="shared" si="66"/>
        <v>0</v>
      </c>
      <c r="I87" s="578">
        <f t="shared" si="66"/>
        <v>0</v>
      </c>
      <c r="J87" s="578">
        <f t="shared" si="66"/>
        <v>41</v>
      </c>
      <c r="K87" s="578">
        <f t="shared" si="66"/>
        <v>0</v>
      </c>
      <c r="L87" s="578">
        <f t="shared" si="66"/>
        <v>0</v>
      </c>
      <c r="M87" s="578">
        <f t="shared" si="66"/>
        <v>0</v>
      </c>
      <c r="N87" s="578">
        <f t="shared" si="66"/>
        <v>0</v>
      </c>
      <c r="O87" s="578">
        <f t="shared" si="66"/>
        <v>0</v>
      </c>
      <c r="P87" s="578">
        <f t="shared" si="66"/>
        <v>0</v>
      </c>
      <c r="Q87" s="578">
        <f t="shared" si="66"/>
        <v>0</v>
      </c>
      <c r="R87" s="578">
        <f t="shared" si="66"/>
        <v>28</v>
      </c>
      <c r="S87" s="578">
        <f t="shared" si="66"/>
        <v>0</v>
      </c>
      <c r="T87" s="564"/>
      <c r="U87" s="564"/>
      <c r="V87" s="565"/>
    </row>
    <row r="88" spans="1:22" s="557" customFormat="1">
      <c r="E88" s="566"/>
      <c r="F88" s="566"/>
      <c r="G88" s="566"/>
      <c r="H88" s="566"/>
      <c r="I88" s="566"/>
      <c r="J88" s="566"/>
      <c r="K88" s="566"/>
      <c r="L88" s="566"/>
      <c r="M88" s="566"/>
      <c r="N88" s="566"/>
      <c r="O88" s="566"/>
      <c r="P88" s="566"/>
      <c r="Q88" s="566"/>
      <c r="R88" s="566"/>
      <c r="S88" s="566"/>
    </row>
    <row r="89" spans="1:22">
      <c r="A89" s="269" t="s">
        <v>415</v>
      </c>
      <c r="B89" s="512" t="str">
        <f>B82</f>
        <v>Wariant elektryczny 2</v>
      </c>
      <c r="C89" s="513" t="s">
        <v>359</v>
      </c>
      <c r="D89" s="513" t="s">
        <v>358</v>
      </c>
      <c r="E89" s="514">
        <f t="shared" ref="E89:T89" si="67">D82</f>
        <v>2021</v>
      </c>
      <c r="F89" s="514">
        <f t="shared" si="67"/>
        <v>2022</v>
      </c>
      <c r="G89" s="514">
        <f t="shared" si="67"/>
        <v>2023</v>
      </c>
      <c r="H89" s="514">
        <f t="shared" si="67"/>
        <v>2024</v>
      </c>
      <c r="I89" s="514">
        <f t="shared" si="67"/>
        <v>2025</v>
      </c>
      <c r="J89" s="514">
        <f t="shared" si="67"/>
        <v>2026</v>
      </c>
      <c r="K89" s="514">
        <f t="shared" si="67"/>
        <v>2027</v>
      </c>
      <c r="L89" s="514">
        <f t="shared" si="67"/>
        <v>2028</v>
      </c>
      <c r="M89" s="514">
        <f t="shared" si="67"/>
        <v>2029</v>
      </c>
      <c r="N89" s="514">
        <f t="shared" si="67"/>
        <v>2030</v>
      </c>
      <c r="O89" s="514">
        <f t="shared" si="67"/>
        <v>2031</v>
      </c>
      <c r="P89" s="514">
        <f t="shared" si="67"/>
        <v>2032</v>
      </c>
      <c r="Q89" s="514">
        <f t="shared" si="67"/>
        <v>2033</v>
      </c>
      <c r="R89" s="514">
        <f t="shared" si="67"/>
        <v>2034</v>
      </c>
      <c r="S89" s="514">
        <f t="shared" si="67"/>
        <v>2035</v>
      </c>
      <c r="T89" s="514">
        <f t="shared" si="67"/>
        <v>2036</v>
      </c>
      <c r="U89" s="12"/>
      <c r="V89" s="12"/>
    </row>
    <row r="90" spans="1:22" s="557" customFormat="1">
      <c r="A90" s="567"/>
      <c r="B90" s="608" t="s">
        <v>357</v>
      </c>
      <c r="C90" s="387"/>
      <c r="D90" s="388"/>
      <c r="E90" s="568"/>
      <c r="F90" s="568"/>
      <c r="G90" s="568"/>
      <c r="H90" s="568"/>
      <c r="I90" s="568"/>
      <c r="J90" s="568"/>
      <c r="K90" s="568"/>
      <c r="L90" s="568"/>
      <c r="M90" s="568"/>
      <c r="N90" s="568"/>
      <c r="O90" s="568"/>
      <c r="P90" s="569"/>
      <c r="Q90" s="569"/>
      <c r="R90" s="568"/>
      <c r="S90" s="567"/>
      <c r="T90" s="567"/>
      <c r="U90" s="570"/>
      <c r="V90" s="570"/>
    </row>
    <row r="91" spans="1:22" s="557" customFormat="1">
      <c r="A91" s="559"/>
      <c r="B91" s="609" t="s">
        <v>484</v>
      </c>
      <c r="C91" s="607" t="s">
        <v>479</v>
      </c>
      <c r="D91" s="390">
        <f>Założenia!E201</f>
        <v>590000</v>
      </c>
      <c r="E91" s="386">
        <f t="shared" ref="E91:T91" si="68">D84*$D91</f>
        <v>0</v>
      </c>
      <c r="F91" s="386">
        <f t="shared" si="68"/>
        <v>0</v>
      </c>
      <c r="G91" s="386">
        <f t="shared" si="68"/>
        <v>0</v>
      </c>
      <c r="H91" s="386">
        <f t="shared" si="68"/>
        <v>0</v>
      </c>
      <c r="I91" s="386">
        <f t="shared" si="68"/>
        <v>0</v>
      </c>
      <c r="J91" s="386">
        <f t="shared" si="68"/>
        <v>0</v>
      </c>
      <c r="K91" s="386">
        <f t="shared" si="68"/>
        <v>9440000</v>
      </c>
      <c r="L91" s="386">
        <f t="shared" si="68"/>
        <v>0</v>
      </c>
      <c r="M91" s="386">
        <f t="shared" si="68"/>
        <v>0</v>
      </c>
      <c r="N91" s="386">
        <f t="shared" si="68"/>
        <v>0</v>
      </c>
      <c r="O91" s="386">
        <f t="shared" si="68"/>
        <v>0</v>
      </c>
      <c r="P91" s="386">
        <f t="shared" si="68"/>
        <v>0</v>
      </c>
      <c r="Q91" s="386">
        <f t="shared" si="68"/>
        <v>0</v>
      </c>
      <c r="R91" s="386">
        <f t="shared" si="68"/>
        <v>0</v>
      </c>
      <c r="S91" s="386">
        <f t="shared" si="68"/>
        <v>9440000</v>
      </c>
      <c r="T91" s="386">
        <f t="shared" si="68"/>
        <v>0</v>
      </c>
      <c r="U91" s="392"/>
      <c r="V91" s="392"/>
    </row>
    <row r="92" spans="1:22" s="557" customFormat="1">
      <c r="A92" s="559"/>
      <c r="B92" s="609" t="s">
        <v>512</v>
      </c>
      <c r="C92" s="607" t="s">
        <v>511</v>
      </c>
      <c r="D92" s="390">
        <f>Założenia!E202</f>
        <v>900000</v>
      </c>
      <c r="E92" s="386">
        <f t="shared" ref="E92:T92" si="69">D85*$D92</f>
        <v>0</v>
      </c>
      <c r="F92" s="386">
        <f t="shared" si="69"/>
        <v>0</v>
      </c>
      <c r="G92" s="386">
        <f t="shared" si="69"/>
        <v>0</v>
      </c>
      <c r="H92" s="386">
        <f t="shared" si="69"/>
        <v>0</v>
      </c>
      <c r="I92" s="386">
        <f t="shared" si="69"/>
        <v>0</v>
      </c>
      <c r="J92" s="386">
        <f t="shared" si="69"/>
        <v>0</v>
      </c>
      <c r="K92" s="386">
        <f t="shared" si="69"/>
        <v>10800000</v>
      </c>
      <c r="L92" s="386">
        <f t="shared" si="69"/>
        <v>0</v>
      </c>
      <c r="M92" s="386">
        <f t="shared" si="69"/>
        <v>0</v>
      </c>
      <c r="N92" s="386">
        <f t="shared" si="69"/>
        <v>0</v>
      </c>
      <c r="O92" s="386">
        <f t="shared" si="69"/>
        <v>0</v>
      </c>
      <c r="P92" s="386">
        <f t="shared" si="69"/>
        <v>0</v>
      </c>
      <c r="Q92" s="386">
        <f t="shared" si="69"/>
        <v>0</v>
      </c>
      <c r="R92" s="386">
        <f t="shared" si="69"/>
        <v>0</v>
      </c>
      <c r="S92" s="386">
        <f t="shared" si="69"/>
        <v>10800000</v>
      </c>
      <c r="T92" s="386">
        <f t="shared" si="69"/>
        <v>0</v>
      </c>
      <c r="U92" s="392"/>
      <c r="V92" s="392"/>
    </row>
    <row r="93" spans="1:22" s="557" customFormat="1">
      <c r="A93" s="559"/>
      <c r="B93" s="609" t="s">
        <v>425</v>
      </c>
      <c r="C93" s="607" t="s">
        <v>498</v>
      </c>
      <c r="D93" s="390">
        <f>Założenia!E204</f>
        <v>2640000</v>
      </c>
      <c r="E93" s="386">
        <f t="shared" ref="E93:T93" si="70">D86*$D93</f>
        <v>0</v>
      </c>
      <c r="F93" s="386">
        <f t="shared" si="70"/>
        <v>0</v>
      </c>
      <c r="G93" s="386">
        <f t="shared" si="70"/>
        <v>0</v>
      </c>
      <c r="H93" s="386">
        <f t="shared" si="70"/>
        <v>0</v>
      </c>
      <c r="I93" s="386">
        <f t="shared" si="70"/>
        <v>0</v>
      </c>
      <c r="J93" s="386">
        <f t="shared" si="70"/>
        <v>0</v>
      </c>
      <c r="K93" s="386">
        <f t="shared" si="70"/>
        <v>34320000</v>
      </c>
      <c r="L93" s="386">
        <f t="shared" si="70"/>
        <v>0</v>
      </c>
      <c r="M93" s="386">
        <f t="shared" si="70"/>
        <v>0</v>
      </c>
      <c r="N93" s="386">
        <f t="shared" si="70"/>
        <v>0</v>
      </c>
      <c r="O93" s="386">
        <f t="shared" si="70"/>
        <v>0</v>
      </c>
      <c r="P93" s="386">
        <f t="shared" si="70"/>
        <v>0</v>
      </c>
      <c r="Q93" s="386">
        <f t="shared" si="70"/>
        <v>0</v>
      </c>
      <c r="R93" s="386">
        <f t="shared" si="70"/>
        <v>0</v>
      </c>
      <c r="S93" s="386">
        <f t="shared" si="70"/>
        <v>0</v>
      </c>
      <c r="T93" s="386">
        <f t="shared" si="70"/>
        <v>0</v>
      </c>
      <c r="U93" s="392"/>
      <c r="V93" s="392"/>
    </row>
    <row r="94" spans="1:22" s="13" customFormat="1">
      <c r="B94" s="391" t="s">
        <v>341</v>
      </c>
      <c r="C94" s="395" t="s">
        <v>2</v>
      </c>
      <c r="D94" s="395" t="s">
        <v>2</v>
      </c>
      <c r="E94" s="102">
        <f t="shared" ref="E94:T94" si="71">SUM(E91:E93)</f>
        <v>0</v>
      </c>
      <c r="F94" s="102">
        <f t="shared" si="71"/>
        <v>0</v>
      </c>
      <c r="G94" s="102">
        <f t="shared" si="71"/>
        <v>0</v>
      </c>
      <c r="H94" s="102">
        <f t="shared" si="71"/>
        <v>0</v>
      </c>
      <c r="I94" s="102">
        <f t="shared" si="71"/>
        <v>0</v>
      </c>
      <c r="J94" s="102">
        <f t="shared" si="71"/>
        <v>0</v>
      </c>
      <c r="K94" s="102">
        <f t="shared" si="71"/>
        <v>54560000</v>
      </c>
      <c r="L94" s="102">
        <f t="shared" si="71"/>
        <v>0</v>
      </c>
      <c r="M94" s="102">
        <f t="shared" si="71"/>
        <v>0</v>
      </c>
      <c r="N94" s="102">
        <f t="shared" si="71"/>
        <v>0</v>
      </c>
      <c r="O94" s="102">
        <f t="shared" si="71"/>
        <v>0</v>
      </c>
      <c r="P94" s="102">
        <f t="shared" si="71"/>
        <v>0</v>
      </c>
      <c r="Q94" s="102">
        <f t="shared" si="71"/>
        <v>0</v>
      </c>
      <c r="R94" s="102">
        <f t="shared" si="71"/>
        <v>0</v>
      </c>
      <c r="S94" s="102">
        <f t="shared" si="71"/>
        <v>20240000</v>
      </c>
      <c r="T94" s="102">
        <f t="shared" si="71"/>
        <v>0</v>
      </c>
      <c r="U94" s="393"/>
      <c r="V94" s="393"/>
    </row>
    <row r="95" spans="1:22" s="13" customFormat="1">
      <c r="B95" s="508"/>
      <c r="C95" s="509"/>
      <c r="D95" s="510"/>
      <c r="E95" s="393"/>
      <c r="F95" s="393"/>
      <c r="G95" s="393"/>
      <c r="H95" s="393"/>
      <c r="I95" s="393"/>
      <c r="J95" s="393"/>
      <c r="K95" s="393"/>
      <c r="L95" s="393"/>
      <c r="M95" s="393"/>
      <c r="N95" s="393"/>
      <c r="O95" s="393"/>
      <c r="P95" s="393"/>
      <c r="Q95" s="393"/>
      <c r="R95" s="393"/>
      <c r="S95" s="393"/>
      <c r="T95" s="393"/>
      <c r="U95" s="393"/>
      <c r="V95" s="393"/>
    </row>
    <row r="96" spans="1:22">
      <c r="A96" s="269" t="s">
        <v>415</v>
      </c>
      <c r="B96" s="512" t="str">
        <f>B89</f>
        <v>Wariant elektryczny 2</v>
      </c>
      <c r="C96" s="513"/>
      <c r="D96" s="513"/>
      <c r="E96" s="514">
        <f>E89</f>
        <v>2021</v>
      </c>
      <c r="F96" s="514">
        <f>E96+1</f>
        <v>2022</v>
      </c>
      <c r="G96" s="514">
        <f t="shared" ref="G96" si="72">F96+1</f>
        <v>2023</v>
      </c>
      <c r="H96" s="514">
        <f t="shared" ref="H96" si="73">G96+1</f>
        <v>2024</v>
      </c>
      <c r="I96" s="514">
        <f t="shared" ref="I96" si="74">H96+1</f>
        <v>2025</v>
      </c>
      <c r="J96" s="514">
        <f t="shared" ref="J96" si="75">I96+1</f>
        <v>2026</v>
      </c>
      <c r="K96" s="514">
        <f t="shared" ref="K96" si="76">J96+1</f>
        <v>2027</v>
      </c>
      <c r="L96" s="514">
        <f t="shared" ref="L96" si="77">K96+1</f>
        <v>2028</v>
      </c>
      <c r="M96" s="514">
        <f t="shared" ref="M96" si="78">L96+1</f>
        <v>2029</v>
      </c>
      <c r="N96" s="514">
        <f t="shared" ref="N96" si="79">M96+1</f>
        <v>2030</v>
      </c>
      <c r="O96" s="514">
        <f t="shared" ref="O96" si="80">N96+1</f>
        <v>2031</v>
      </c>
      <c r="P96" s="514">
        <f t="shared" ref="P96" si="81">O96+1</f>
        <v>2032</v>
      </c>
      <c r="Q96" s="514">
        <f t="shared" ref="Q96" si="82">P96+1</f>
        <v>2033</v>
      </c>
      <c r="R96" s="514">
        <f t="shared" ref="R96" si="83">Q96+1</f>
        <v>2034</v>
      </c>
      <c r="S96" s="514">
        <f t="shared" ref="S96" si="84">R96+1</f>
        <v>2035</v>
      </c>
      <c r="T96" s="514">
        <f t="shared" ref="T96" si="85">S96+1</f>
        <v>2036</v>
      </c>
    </row>
    <row r="97" spans="1:20">
      <c r="A97" s="114"/>
      <c r="B97" s="511" t="s">
        <v>33</v>
      </c>
      <c r="C97" s="408"/>
      <c r="D97" s="408"/>
      <c r="E97" s="572"/>
      <c r="F97" s="572"/>
      <c r="G97" s="572"/>
      <c r="H97" s="572"/>
      <c r="I97" s="572"/>
      <c r="J97" s="572"/>
    </row>
    <row r="98" spans="1:20">
      <c r="A98" s="114"/>
      <c r="B98" s="284" t="s">
        <v>355</v>
      </c>
      <c r="C98" s="412" t="str">
        <f>C66</f>
        <v>zł</v>
      </c>
      <c r="D98" s="97"/>
      <c r="E98" s="574">
        <f>E94</f>
        <v>0</v>
      </c>
      <c r="F98" s="574">
        <f t="shared" ref="F98:T98" si="86">F94</f>
        <v>0</v>
      </c>
      <c r="G98" s="574">
        <f t="shared" si="86"/>
        <v>0</v>
      </c>
      <c r="H98" s="574">
        <f t="shared" si="86"/>
        <v>0</v>
      </c>
      <c r="I98" s="574">
        <f t="shared" si="86"/>
        <v>0</v>
      </c>
      <c r="J98" s="574">
        <f t="shared" si="86"/>
        <v>0</v>
      </c>
      <c r="K98" s="574">
        <f t="shared" si="86"/>
        <v>54560000</v>
      </c>
      <c r="L98" s="574">
        <f t="shared" si="86"/>
        <v>0</v>
      </c>
      <c r="M98" s="574">
        <f t="shared" si="86"/>
        <v>0</v>
      </c>
      <c r="N98" s="574">
        <f t="shared" si="86"/>
        <v>0</v>
      </c>
      <c r="O98" s="574">
        <f t="shared" si="86"/>
        <v>0</v>
      </c>
      <c r="P98" s="574">
        <f t="shared" si="86"/>
        <v>0</v>
      </c>
      <c r="Q98" s="574">
        <f t="shared" si="86"/>
        <v>0</v>
      </c>
      <c r="R98" s="574">
        <f t="shared" si="86"/>
        <v>0</v>
      </c>
      <c r="S98" s="574">
        <f t="shared" si="86"/>
        <v>20240000</v>
      </c>
      <c r="T98" s="574">
        <f t="shared" si="86"/>
        <v>0</v>
      </c>
    </row>
    <row r="99" spans="1:20" ht="12.75" customHeight="1">
      <c r="A99" s="114"/>
      <c r="B99" s="284" t="s">
        <v>42</v>
      </c>
      <c r="C99" s="409" t="s">
        <v>47</v>
      </c>
      <c r="D99" s="411"/>
      <c r="E99" s="573">
        <v>0</v>
      </c>
      <c r="F99" s="573">
        <v>0</v>
      </c>
      <c r="G99" s="573">
        <v>0</v>
      </c>
      <c r="H99" s="573">
        <v>0</v>
      </c>
      <c r="I99" s="573">
        <v>0</v>
      </c>
      <c r="J99" s="573">
        <v>0</v>
      </c>
      <c r="K99" s="573">
        <v>1950000</v>
      </c>
      <c r="L99" s="573">
        <v>0</v>
      </c>
      <c r="M99" s="573">
        <v>0</v>
      </c>
      <c r="N99" s="573">
        <v>0</v>
      </c>
      <c r="O99" s="573">
        <v>0</v>
      </c>
      <c r="P99" s="573">
        <v>0</v>
      </c>
      <c r="Q99" s="573">
        <v>0</v>
      </c>
      <c r="R99" s="573">
        <v>0</v>
      </c>
      <c r="S99" s="573">
        <v>0</v>
      </c>
      <c r="T99" s="573">
        <v>0</v>
      </c>
    </row>
    <row r="100" spans="1:20" ht="12.75" customHeight="1">
      <c r="A100" s="114"/>
      <c r="B100" s="284" t="s">
        <v>360</v>
      </c>
      <c r="C100" s="409" t="s">
        <v>47</v>
      </c>
      <c r="D100" s="409"/>
      <c r="E100" s="573">
        <v>0</v>
      </c>
      <c r="F100" s="573">
        <v>0</v>
      </c>
      <c r="G100" s="573">
        <v>0</v>
      </c>
      <c r="H100" s="573">
        <v>0</v>
      </c>
      <c r="I100" s="573">
        <v>0</v>
      </c>
      <c r="J100" s="573">
        <v>0</v>
      </c>
      <c r="K100" s="573">
        <v>0</v>
      </c>
      <c r="L100" s="573">
        <v>0</v>
      </c>
      <c r="M100" s="573">
        <v>0</v>
      </c>
      <c r="N100" s="573">
        <v>0</v>
      </c>
      <c r="O100" s="573">
        <v>0</v>
      </c>
      <c r="P100" s="573">
        <v>0</v>
      </c>
      <c r="Q100" s="573">
        <v>0</v>
      </c>
      <c r="R100" s="573">
        <v>0</v>
      </c>
      <c r="S100" s="573">
        <v>2158000</v>
      </c>
      <c r="T100" s="573">
        <v>0</v>
      </c>
    </row>
    <row r="101" spans="1:20" ht="12.75" customHeight="1">
      <c r="A101" s="114"/>
      <c r="B101" s="97" t="s">
        <v>363</v>
      </c>
      <c r="C101" s="409" t="s">
        <v>48</v>
      </c>
      <c r="D101" s="407"/>
      <c r="E101" s="574"/>
      <c r="F101" s="574"/>
      <c r="G101" s="574"/>
      <c r="H101" s="574"/>
      <c r="I101" s="574"/>
      <c r="J101" s="574"/>
      <c r="K101" s="574"/>
      <c r="L101" s="574"/>
      <c r="M101" s="574"/>
      <c r="N101" s="574"/>
      <c r="O101" s="574"/>
      <c r="P101" s="574"/>
      <c r="Q101" s="574"/>
      <c r="R101" s="574"/>
      <c r="S101" s="574"/>
      <c r="T101" s="574"/>
    </row>
    <row r="102" spans="1:20" ht="12.75" customHeight="1">
      <c r="A102" s="114"/>
      <c r="B102" s="97" t="s">
        <v>364</v>
      </c>
      <c r="C102" s="409" t="s">
        <v>48</v>
      </c>
      <c r="D102" s="407"/>
      <c r="E102" s="574"/>
      <c r="F102" s="97"/>
      <c r="G102" s="574"/>
      <c r="H102" s="574"/>
      <c r="I102" s="574"/>
      <c r="J102" s="574"/>
      <c r="K102" s="574">
        <v>13</v>
      </c>
      <c r="L102" s="574">
        <f>K102</f>
        <v>13</v>
      </c>
      <c r="M102" s="574">
        <f t="shared" ref="M102:T102" si="87">L102</f>
        <v>13</v>
      </c>
      <c r="N102" s="574">
        <f t="shared" si="87"/>
        <v>13</v>
      </c>
      <c r="O102" s="574">
        <f t="shared" si="87"/>
        <v>13</v>
      </c>
      <c r="P102" s="574">
        <f t="shared" si="87"/>
        <v>13</v>
      </c>
      <c r="Q102" s="574">
        <f t="shared" si="87"/>
        <v>13</v>
      </c>
      <c r="R102" s="574">
        <f t="shared" si="87"/>
        <v>13</v>
      </c>
      <c r="S102" s="574">
        <f t="shared" si="87"/>
        <v>13</v>
      </c>
      <c r="T102" s="574">
        <f t="shared" si="87"/>
        <v>13</v>
      </c>
    </row>
    <row r="103" spans="1:20">
      <c r="A103" s="6"/>
      <c r="B103" s="408"/>
      <c r="C103" s="410"/>
      <c r="D103" s="408"/>
      <c r="E103" s="475"/>
      <c r="F103" s="475"/>
      <c r="G103" s="475"/>
      <c r="H103" s="475"/>
      <c r="I103" s="475"/>
      <c r="J103" s="475"/>
      <c r="K103" s="475"/>
      <c r="L103" s="475"/>
      <c r="M103" s="475"/>
      <c r="N103" s="475"/>
      <c r="O103" s="475"/>
      <c r="P103" s="475"/>
      <c r="Q103" s="475"/>
      <c r="R103" s="475"/>
      <c r="S103" s="475"/>
      <c r="T103" s="475"/>
    </row>
    <row r="104" spans="1:20" ht="12.75" customHeight="1">
      <c r="A104" s="114"/>
      <c r="B104" s="284" t="s">
        <v>287</v>
      </c>
      <c r="C104" s="645"/>
      <c r="D104" s="645"/>
      <c r="E104" s="576"/>
      <c r="F104" s="576"/>
      <c r="G104" s="576"/>
      <c r="H104" s="576"/>
      <c r="I104" s="576"/>
      <c r="J104" s="576"/>
      <c r="K104" s="576"/>
    </row>
    <row r="105" spans="1:20">
      <c r="A105" s="114"/>
      <c r="B105" s="284" t="s">
        <v>288</v>
      </c>
      <c r="C105" s="99">
        <f>C73</f>
        <v>2000</v>
      </c>
      <c r="D105" s="97" t="s">
        <v>46</v>
      </c>
      <c r="E105" s="572"/>
      <c r="F105" s="572"/>
      <c r="G105" s="572"/>
      <c r="H105" s="572"/>
      <c r="I105" s="576"/>
      <c r="J105" s="576"/>
      <c r="K105" s="576"/>
    </row>
    <row r="106" spans="1:20" ht="12" customHeight="1">
      <c r="A106" s="114"/>
      <c r="B106" s="97" t="s">
        <v>289</v>
      </c>
      <c r="C106" s="99">
        <f>C74</f>
        <v>6000</v>
      </c>
      <c r="D106" s="97" t="s">
        <v>46</v>
      </c>
      <c r="E106" s="572"/>
      <c r="F106" s="572"/>
      <c r="G106" s="572"/>
      <c r="H106" s="572"/>
      <c r="I106" s="576"/>
      <c r="J106" s="576"/>
      <c r="K106" s="576"/>
    </row>
    <row r="107" spans="1:20">
      <c r="A107" s="6"/>
      <c r="B107" s="97"/>
      <c r="C107" s="97"/>
      <c r="D107" s="97"/>
      <c r="E107" s="100"/>
    </row>
    <row r="108" spans="1:20">
      <c r="A108" s="114"/>
      <c r="B108" s="97" t="s">
        <v>445</v>
      </c>
      <c r="C108" s="97">
        <v>15</v>
      </c>
      <c r="D108" s="97" t="s">
        <v>59</v>
      </c>
      <c r="E108" s="572"/>
      <c r="F108" s="572"/>
      <c r="G108" s="572"/>
      <c r="H108" s="572"/>
      <c r="I108" s="572"/>
      <c r="J108" s="572"/>
    </row>
    <row r="109" spans="1:20">
      <c r="A109" s="114"/>
      <c r="B109" s="97" t="s">
        <v>74</v>
      </c>
      <c r="C109" s="29">
        <f>Założenia!F194</f>
        <v>8</v>
      </c>
      <c r="D109" s="97" t="s">
        <v>59</v>
      </c>
      <c r="E109" s="572"/>
      <c r="F109" s="572"/>
      <c r="G109" s="572"/>
      <c r="H109" s="572"/>
      <c r="I109" s="572"/>
      <c r="J109" s="572"/>
    </row>
    <row r="110" spans="1:20">
      <c r="A110" s="114"/>
      <c r="B110" s="97" t="s">
        <v>226</v>
      </c>
      <c r="C110" s="97">
        <v>15</v>
      </c>
      <c r="D110" s="97" t="s">
        <v>59</v>
      </c>
      <c r="E110" s="572"/>
      <c r="F110" s="572"/>
      <c r="G110" s="572"/>
      <c r="H110" s="572"/>
      <c r="I110" s="572"/>
      <c r="J110" s="572"/>
    </row>
    <row r="111" spans="1:20">
      <c r="A111" s="6"/>
      <c r="I111" s="43"/>
      <c r="J111" s="10"/>
    </row>
    <row r="112" spans="1:20" ht="5.25" customHeight="1">
      <c r="C112" s="10"/>
    </row>
    <row r="113" spans="1:20">
      <c r="C113" s="183"/>
    </row>
    <row r="114" spans="1:20">
      <c r="C114" s="10"/>
    </row>
    <row r="115" spans="1:20">
      <c r="B115" s="104"/>
    </row>
    <row r="117" spans="1:20">
      <c r="A117" s="269" t="s">
        <v>294</v>
      </c>
      <c r="B117" s="98" t="s">
        <v>78</v>
      </c>
      <c r="C117" s="98"/>
      <c r="D117" s="98"/>
      <c r="E117" s="101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98"/>
    </row>
    <row r="118" spans="1:20" ht="12.75" thickBot="1"/>
    <row r="119" spans="1:20" ht="30.75" customHeight="1">
      <c r="A119" s="396" t="s">
        <v>167</v>
      </c>
      <c r="B119" s="397" t="s">
        <v>14</v>
      </c>
      <c r="C119" s="527" t="s">
        <v>241</v>
      </c>
      <c r="D119" s="640" t="s">
        <v>414</v>
      </c>
      <c r="E119" s="641"/>
      <c r="F119" s="641"/>
      <c r="G119" s="642"/>
      <c r="H119" s="640" t="s">
        <v>446</v>
      </c>
      <c r="I119" s="641"/>
      <c r="J119" s="641"/>
      <c r="K119" s="642"/>
      <c r="L119" s="640" t="s">
        <v>466</v>
      </c>
      <c r="M119" s="641"/>
      <c r="N119" s="641"/>
      <c r="O119" s="642"/>
    </row>
    <row r="120" spans="1:20" ht="24" customHeight="1">
      <c r="A120" s="398"/>
      <c r="B120" s="190"/>
      <c r="C120" s="528"/>
      <c r="D120" s="637" t="s">
        <v>198</v>
      </c>
      <c r="E120" s="643"/>
      <c r="F120" s="644" t="s">
        <v>233</v>
      </c>
      <c r="G120" s="639"/>
      <c r="H120" s="637" t="s">
        <v>198</v>
      </c>
      <c r="I120" s="643"/>
      <c r="J120" s="644" t="s">
        <v>233</v>
      </c>
      <c r="K120" s="639"/>
      <c r="L120" s="637" t="s">
        <v>198</v>
      </c>
      <c r="M120" s="643"/>
      <c r="N120" s="644" t="s">
        <v>233</v>
      </c>
      <c r="O120" s="639"/>
    </row>
    <row r="121" spans="1:20">
      <c r="A121" s="398"/>
      <c r="B121" s="190"/>
      <c r="C121" s="528"/>
      <c r="D121" s="529" t="s">
        <v>232</v>
      </c>
      <c r="E121" s="407" t="s">
        <v>0</v>
      </c>
      <c r="F121" s="340" t="s">
        <v>232</v>
      </c>
      <c r="G121" s="399" t="s">
        <v>0</v>
      </c>
      <c r="H121" s="529" t="s">
        <v>232</v>
      </c>
      <c r="I121" s="407" t="s">
        <v>0</v>
      </c>
      <c r="J121" s="340" t="s">
        <v>232</v>
      </c>
      <c r="K121" s="399" t="s">
        <v>0</v>
      </c>
      <c r="L121" s="529" t="s">
        <v>232</v>
      </c>
      <c r="M121" s="407" t="s">
        <v>0</v>
      </c>
      <c r="N121" s="340" t="s">
        <v>232</v>
      </c>
      <c r="O121" s="399" t="s">
        <v>0</v>
      </c>
    </row>
    <row r="122" spans="1:20" ht="13.5">
      <c r="A122" s="398"/>
      <c r="B122" s="192" t="s">
        <v>235</v>
      </c>
      <c r="C122" s="528"/>
      <c r="D122" s="530">
        <f>'Wariant konwencjonalny'!$C$209</f>
        <v>1195.240470279633</v>
      </c>
      <c r="E122" s="250">
        <f>'Wariant konwencjonalny'!$D$209</f>
        <v>273740.16366334131</v>
      </c>
      <c r="F122" s="237">
        <f>'Wariant konwencjonalny'!$C$210</f>
        <v>19123.847524474128</v>
      </c>
      <c r="G122" s="400">
        <f>'Wariant konwencjonalny'!$D$210</f>
        <v>4379842.618613461</v>
      </c>
      <c r="H122" s="530">
        <f>'Wariant elektryczny 1'!$C$212</f>
        <v>1239.6474677377137</v>
      </c>
      <c r="I122" s="250">
        <f>'Wariant elektryczny 1'!$D$212</f>
        <v>284213.13233540632</v>
      </c>
      <c r="J122" s="237">
        <f>'Wariant elektryczny 1'!$C$213</f>
        <v>19834.359483803419</v>
      </c>
      <c r="K122" s="400">
        <f>'Wariant elektryczny 1'!$D$213</f>
        <v>4547410.1173665011</v>
      </c>
      <c r="L122" s="530">
        <f>'Wariant elektryczny 2'!$C$212</f>
        <v>1291.0822867389411</v>
      </c>
      <c r="M122" s="250">
        <f>'Wariant elektryczny 2'!$D$212</f>
        <v>296882.95250838989</v>
      </c>
      <c r="N122" s="237">
        <f>'Wariant elektryczny 2'!$C$213</f>
        <v>20657.316587823057</v>
      </c>
      <c r="O122" s="400">
        <f>'Wariant elektryczny 2'!$D$213</f>
        <v>4750127.2401342383</v>
      </c>
    </row>
    <row r="123" spans="1:20">
      <c r="A123" s="398"/>
      <c r="B123" s="192" t="s">
        <v>183</v>
      </c>
      <c r="C123" s="528"/>
      <c r="D123" s="531">
        <f>'Wariant konwencjonalny'!$C$212</f>
        <v>1.7839410004173621</v>
      </c>
      <c r="E123" s="250">
        <f>'Wariant konwencjonalny'!$D$212</f>
        <v>180667.26477353973</v>
      </c>
      <c r="F123" s="237">
        <f>'Wariant konwencjonalny'!$C$213</f>
        <v>28.543056006677794</v>
      </c>
      <c r="G123" s="400">
        <f>'Wariant konwencjonalny'!$D$213</f>
        <v>2890676.2363766357</v>
      </c>
      <c r="H123" s="531">
        <f>'Wariant elektryczny 1'!$C$215</f>
        <v>1.7963966682909156</v>
      </c>
      <c r="I123" s="250">
        <f>'Wariant elektryczny 1'!$D$215</f>
        <v>181749.99539928994</v>
      </c>
      <c r="J123" s="237">
        <f>'Wariant elektryczny 1'!$C$216</f>
        <v>28.74234669265465</v>
      </c>
      <c r="K123" s="400">
        <f>'Wariant elektryczny 1'!$D$216</f>
        <v>2907999.926388639</v>
      </c>
      <c r="L123" s="531">
        <f>'Wariant elektryczny 2'!$C$215</f>
        <v>1.8651098472284613</v>
      </c>
      <c r="M123" s="250">
        <f>'Wariant elektryczny 2'!$D$215</f>
        <v>189338.85504901921</v>
      </c>
      <c r="N123" s="237">
        <f>'Wariant elektryczny 2'!$C$216</f>
        <v>29.841757555655381</v>
      </c>
      <c r="O123" s="400">
        <f>'Wariant elektryczny 2'!$D$216</f>
        <v>3029421.6807843074</v>
      </c>
    </row>
    <row r="124" spans="1:20">
      <c r="A124" s="398"/>
      <c r="B124" s="192" t="s">
        <v>234</v>
      </c>
      <c r="C124" s="528"/>
      <c r="D124" s="531">
        <f>'Wariant konwencjonalny'!$C$215</f>
        <v>0.57978082513564289</v>
      </c>
      <c r="E124" s="250">
        <f>'Wariant konwencjonalny'!$D$215</f>
        <v>7334.1441747990102</v>
      </c>
      <c r="F124" s="237">
        <f>'Wariant konwencjonalny'!$C$216</f>
        <v>9.2764932021702862</v>
      </c>
      <c r="G124" s="400">
        <f>'Wariant konwencjonalny'!$D$216</f>
        <v>117346.30679678416</v>
      </c>
      <c r="H124" s="531">
        <f>'Wariant elektryczny 1'!$C$218</f>
        <v>0.47833155203124189</v>
      </c>
      <c r="I124" s="250">
        <f>'Wariant elektryczny 1'!$D$218</f>
        <v>5926.1361905397562</v>
      </c>
      <c r="J124" s="237">
        <f>'Wariant elektryczny 1'!$C$219</f>
        <v>7.6533048324998703</v>
      </c>
      <c r="K124" s="400">
        <f>'Wariant elektryczny 1'!$D$219</f>
        <v>94818.179048636099</v>
      </c>
      <c r="L124" s="531">
        <f>'Wariant elektryczny 2'!$C$218</f>
        <v>0.48487461386898678</v>
      </c>
      <c r="M124" s="250">
        <f>'Wariant elektryczny 2'!$D$218</f>
        <v>6016.9038116871461</v>
      </c>
      <c r="N124" s="237">
        <f>'Wariant elektryczny 2'!$C$219</f>
        <v>7.7579938219037885</v>
      </c>
      <c r="O124" s="400">
        <f>'Wariant elektryczny 2'!$D$219</f>
        <v>96270.460986994338</v>
      </c>
    </row>
    <row r="125" spans="1:20">
      <c r="A125" s="398"/>
      <c r="B125" s="192" t="s">
        <v>184</v>
      </c>
      <c r="C125" s="528"/>
      <c r="D125" s="531">
        <f>'Wariant konwencjonalny'!$C$218</f>
        <v>4.4598525010434042E-2</v>
      </c>
      <c r="E125" s="250">
        <f>'Wariant konwencjonalny'!$D$218</f>
        <v>74455.986899702708</v>
      </c>
      <c r="F125" s="237">
        <f>'Wariant konwencjonalny'!$C$219</f>
        <v>0.71357640016694468</v>
      </c>
      <c r="G125" s="400">
        <f>'Wariant konwencjonalny'!$D$219</f>
        <v>1191295.7903952433</v>
      </c>
      <c r="H125" s="531">
        <f>'Wariant elektryczny 1'!$C$221</f>
        <v>4.5703049691273062E-2</v>
      </c>
      <c r="I125" s="250">
        <f>'Wariant elektryczny 1'!$D$221</f>
        <v>76342.704565319145</v>
      </c>
      <c r="J125" s="237">
        <f>'Wariant elektryczny 1'!$C$222</f>
        <v>0.73124879506036899</v>
      </c>
      <c r="K125" s="400">
        <f>'Wariant elektryczny 1'!$D$222</f>
        <v>1221483.2730451063</v>
      </c>
      <c r="L125" s="531">
        <f>'Wariant elektryczny 2'!$C$221</f>
        <v>4.7539579339187926E-2</v>
      </c>
      <c r="M125" s="250">
        <f>'Wariant elektryczny 2'!$D$221</f>
        <v>79685.785923361502</v>
      </c>
      <c r="N125" s="237">
        <f>'Wariant elektryczny 2'!$C$222</f>
        <v>0.76063326942700682</v>
      </c>
      <c r="O125" s="400">
        <f>'Wariant elektryczny 2'!$D$222</f>
        <v>1274972.574773784</v>
      </c>
    </row>
    <row r="126" spans="1:20">
      <c r="A126" s="398"/>
      <c r="B126" s="190"/>
      <c r="C126" s="528"/>
      <c r="D126" s="637"/>
      <c r="E126" s="638"/>
      <c r="F126" s="638"/>
      <c r="G126" s="639"/>
      <c r="H126" s="637"/>
      <c r="I126" s="638"/>
      <c r="J126" s="638"/>
      <c r="K126" s="639"/>
      <c r="L126" s="637"/>
      <c r="M126" s="638"/>
      <c r="N126" s="638"/>
      <c r="O126" s="639"/>
    </row>
    <row r="127" spans="1:20">
      <c r="A127" s="401" t="s">
        <v>34</v>
      </c>
      <c r="B127" s="191" t="s">
        <v>404</v>
      </c>
      <c r="C127" s="579" t="s">
        <v>0</v>
      </c>
      <c r="D127" s="646">
        <f>D128+D129</f>
        <v>36140000</v>
      </c>
      <c r="E127" s="647"/>
      <c r="F127" s="647"/>
      <c r="G127" s="648"/>
      <c r="H127" s="646">
        <f>H128+H129</f>
        <v>53050000</v>
      </c>
      <c r="I127" s="647"/>
      <c r="J127" s="647"/>
      <c r="K127" s="648"/>
      <c r="L127" s="646">
        <f>L128+L129</f>
        <v>53350000</v>
      </c>
      <c r="M127" s="647"/>
      <c r="N127" s="647"/>
      <c r="O127" s="648"/>
    </row>
    <row r="128" spans="1:20">
      <c r="A128" s="401" t="s">
        <v>35</v>
      </c>
      <c r="B128" s="192" t="s">
        <v>292</v>
      </c>
      <c r="C128" s="579" t="s">
        <v>0</v>
      </c>
      <c r="D128" s="655">
        <f>'Wariant konwencjonalny'!$D$112</f>
        <v>0</v>
      </c>
      <c r="E128" s="656"/>
      <c r="F128" s="656"/>
      <c r="G128" s="657"/>
      <c r="H128" s="655">
        <f>'Wariant elektryczny 1'!$D$112</f>
        <v>3650000</v>
      </c>
      <c r="I128" s="656"/>
      <c r="J128" s="656"/>
      <c r="K128" s="657"/>
      <c r="L128" s="655">
        <f>'Wariant elektryczny 2'!$D$112</f>
        <v>1950000</v>
      </c>
      <c r="M128" s="656"/>
      <c r="N128" s="656"/>
      <c r="O128" s="657"/>
    </row>
    <row r="129" spans="1:20">
      <c r="A129" s="401" t="s">
        <v>30</v>
      </c>
      <c r="B129" s="192" t="s">
        <v>293</v>
      </c>
      <c r="C129" s="579" t="s">
        <v>0</v>
      </c>
      <c r="D129" s="655">
        <f>'Wariant konwencjonalny'!$D$111</f>
        <v>36140000</v>
      </c>
      <c r="E129" s="656"/>
      <c r="F129" s="656"/>
      <c r="G129" s="657"/>
      <c r="H129" s="655">
        <f>'Wariant elektryczny 1'!$D$111</f>
        <v>49400000</v>
      </c>
      <c r="I129" s="656"/>
      <c r="J129" s="656"/>
      <c r="K129" s="657"/>
      <c r="L129" s="655">
        <f>'Wariant elektryczny 2'!$D$111</f>
        <v>51400000</v>
      </c>
      <c r="M129" s="656"/>
      <c r="N129" s="656"/>
      <c r="O129" s="657"/>
    </row>
    <row r="130" spans="1:20">
      <c r="A130" s="401" t="s">
        <v>31</v>
      </c>
      <c r="B130" s="192" t="s">
        <v>169</v>
      </c>
      <c r="C130" s="579" t="s">
        <v>243</v>
      </c>
      <c r="D130" s="655">
        <f>AVERAGE('Wariant konwencjonalny'!$E$137:$T$137)</f>
        <v>-341514.63046134869</v>
      </c>
      <c r="E130" s="656"/>
      <c r="F130" s="656"/>
      <c r="G130" s="657"/>
      <c r="H130" s="655">
        <f>AVERAGE('Wariant elektryczny 1'!$E$136:$T$136)</f>
        <v>-428864.45331194554</v>
      </c>
      <c r="I130" s="656"/>
      <c r="J130" s="656"/>
      <c r="K130" s="657"/>
      <c r="L130" s="655">
        <f>AVERAGE('Wariant elektryczny 2'!$E$136:$T$136)</f>
        <v>-391307.18372846278</v>
      </c>
      <c r="M130" s="656"/>
      <c r="N130" s="656"/>
      <c r="O130" s="657"/>
    </row>
    <row r="131" spans="1:20">
      <c r="A131" s="401" t="s">
        <v>32</v>
      </c>
      <c r="B131" s="192" t="s">
        <v>242</v>
      </c>
      <c r="C131" s="579" t="s">
        <v>0</v>
      </c>
      <c r="D131" s="646">
        <f>SUM(D132:G134)</f>
        <v>-7870.8694209940804</v>
      </c>
      <c r="E131" s="647"/>
      <c r="F131" s="647"/>
      <c r="G131" s="648"/>
      <c r="H131" s="646">
        <f t="shared" ref="H131" si="88">SUM(H132:K134)</f>
        <v>1386548.6894059912</v>
      </c>
      <c r="I131" s="647"/>
      <c r="J131" s="647"/>
      <c r="K131" s="648"/>
      <c r="L131" s="646">
        <f t="shared" ref="L131" si="89">SUM(L132:O134)</f>
        <v>1042213.1137470772</v>
      </c>
      <c r="M131" s="647"/>
      <c r="N131" s="647"/>
      <c r="O131" s="648"/>
    </row>
    <row r="132" spans="1:20">
      <c r="A132" s="401" t="s">
        <v>36</v>
      </c>
      <c r="B132" s="192" t="s">
        <v>247</v>
      </c>
      <c r="C132" s="579" t="s">
        <v>0</v>
      </c>
      <c r="D132" s="655">
        <f>'Wariant konwencjonalny'!$D$176</f>
        <v>-5303.7160460822142</v>
      </c>
      <c r="E132" s="656"/>
      <c r="F132" s="656"/>
      <c r="G132" s="657"/>
      <c r="H132" s="655">
        <f>'Wariant elektryczny 1'!$D$175</f>
        <v>53171.980321204319</v>
      </c>
      <c r="I132" s="656"/>
      <c r="J132" s="656"/>
      <c r="K132" s="657"/>
      <c r="L132" s="655">
        <f>'Wariant elektryczny 2'!$D$175</f>
        <v>-61510.025838230038</v>
      </c>
      <c r="M132" s="656"/>
      <c r="N132" s="656"/>
      <c r="O132" s="657"/>
    </row>
    <row r="133" spans="1:20">
      <c r="A133" s="401" t="s">
        <v>37</v>
      </c>
      <c r="B133" s="192" t="s">
        <v>290</v>
      </c>
      <c r="C133" s="579" t="s">
        <v>0</v>
      </c>
      <c r="D133" s="655">
        <f>'Wariant konwencjonalny'!$D$177</f>
        <v>-4696.2087369511737</v>
      </c>
      <c r="E133" s="656"/>
      <c r="F133" s="656"/>
      <c r="G133" s="657"/>
      <c r="H133" s="655">
        <f>'Wariant elektryczny 1'!$D$176</f>
        <v>-118614.60075545256</v>
      </c>
      <c r="I133" s="656"/>
      <c r="J133" s="656"/>
      <c r="K133" s="657"/>
      <c r="L133" s="655">
        <f>'Wariant elektryczny 2'!$D$176</f>
        <v>-245131.86998776242</v>
      </c>
      <c r="M133" s="656"/>
      <c r="N133" s="656"/>
      <c r="O133" s="657"/>
    </row>
    <row r="134" spans="1:20" ht="12.75" thickBot="1">
      <c r="A134" s="401" t="s">
        <v>38</v>
      </c>
      <c r="B134" s="251" t="s">
        <v>291</v>
      </c>
      <c r="C134" s="580" t="s">
        <v>0</v>
      </c>
      <c r="D134" s="658">
        <f>'Wariant konwencjonalny'!$D$178</f>
        <v>2129.0553620393071</v>
      </c>
      <c r="E134" s="659"/>
      <c r="F134" s="659"/>
      <c r="G134" s="660"/>
      <c r="H134" s="658">
        <f>'Wariant elektryczny 1'!$D$177</f>
        <v>1451991.3098402394</v>
      </c>
      <c r="I134" s="659"/>
      <c r="J134" s="659"/>
      <c r="K134" s="660"/>
      <c r="L134" s="658">
        <f>'Wariant elektryczny 2'!$D$177</f>
        <v>1348855.0095730696</v>
      </c>
      <c r="M134" s="659"/>
      <c r="N134" s="659"/>
      <c r="O134" s="660"/>
    </row>
    <row r="135" spans="1:20" s="6" customFormat="1">
      <c r="A135" s="402" t="s">
        <v>39</v>
      </c>
      <c r="B135" s="252" t="s">
        <v>68</v>
      </c>
      <c r="C135" s="581" t="s">
        <v>0</v>
      </c>
      <c r="D135" s="661">
        <f>'Wariant konwencjonalny'!$E$187</f>
        <v>-14603601.793081708</v>
      </c>
      <c r="E135" s="662"/>
      <c r="F135" s="662"/>
      <c r="G135" s="663"/>
      <c r="H135" s="661">
        <f>'Wariant elektryczny 1'!$E$186</f>
        <v>-24569778.295661867</v>
      </c>
      <c r="I135" s="662"/>
      <c r="J135" s="662"/>
      <c r="K135" s="663"/>
      <c r="L135" s="661">
        <f>'Wariant elektryczny 2'!$E$186</f>
        <v>-26992029.633100919</v>
      </c>
      <c r="M135" s="662"/>
      <c r="N135" s="662"/>
      <c r="O135" s="663"/>
      <c r="P135" s="103"/>
      <c r="Q135" s="103"/>
      <c r="R135" s="103"/>
      <c r="S135" s="103"/>
      <c r="T135" s="103"/>
    </row>
    <row r="136" spans="1:20" s="6" customFormat="1" ht="12" customHeight="1">
      <c r="A136" s="402" t="s">
        <v>40</v>
      </c>
      <c r="B136" s="253" t="s">
        <v>65</v>
      </c>
      <c r="C136" s="582" t="s">
        <v>1</v>
      </c>
      <c r="D136" s="649" t="str">
        <f>IF('Wariant konwencjonalny'!F188="niepoliczalna","niepoliczalna",'Wariant konwencjonalny'!E188)</f>
        <v>niepoliczalna</v>
      </c>
      <c r="E136" s="650"/>
      <c r="F136" s="650"/>
      <c r="G136" s="651"/>
      <c r="H136" s="649" t="str">
        <f>IF('Wariant elektryczny 1'!F187="niepoliczalna","niepoliczalna",'Wariant elektryczny 1'!E187)</f>
        <v>niepoliczalna</v>
      </c>
      <c r="I136" s="650"/>
      <c r="J136" s="650"/>
      <c r="K136" s="651"/>
      <c r="L136" s="649" t="str">
        <f>IF('Wariant elektryczny 2'!F187="niepoliczalna","niepoliczalna",'Wariant elektryczny 2'!E187)</f>
        <v>niepoliczalna</v>
      </c>
      <c r="M136" s="650"/>
      <c r="N136" s="650"/>
      <c r="O136" s="651"/>
    </row>
    <row r="137" spans="1:20" s="6" customFormat="1" ht="12.75" thickBot="1">
      <c r="A137" s="403" t="s">
        <v>41</v>
      </c>
      <c r="B137" s="254" t="s">
        <v>66</v>
      </c>
      <c r="C137" s="583" t="s">
        <v>2</v>
      </c>
      <c r="D137" s="652">
        <f>'Wariant konwencjonalny'!$E$189</f>
        <v>0.27218772713812484</v>
      </c>
      <c r="E137" s="653"/>
      <c r="F137" s="653"/>
      <c r="G137" s="654"/>
      <c r="H137" s="652">
        <f>'Wariant elektryczny 1'!$E$188</f>
        <v>0.26809723555686804</v>
      </c>
      <c r="I137" s="653"/>
      <c r="J137" s="653"/>
      <c r="K137" s="654"/>
      <c r="L137" s="652">
        <f>'Wariant elektryczny 2'!$E$188</f>
        <v>0.22219434152135847</v>
      </c>
      <c r="M137" s="653"/>
      <c r="N137" s="653"/>
      <c r="O137" s="654"/>
    </row>
    <row r="138" spans="1:20">
      <c r="E138" s="48"/>
    </row>
  </sheetData>
  <mergeCells count="47">
    <mergeCell ref="L133:O133"/>
    <mergeCell ref="L134:O134"/>
    <mergeCell ref="L135:O135"/>
    <mergeCell ref="L136:O136"/>
    <mergeCell ref="L137:O137"/>
    <mergeCell ref="L128:O128"/>
    <mergeCell ref="L129:O129"/>
    <mergeCell ref="L130:O130"/>
    <mergeCell ref="L131:O131"/>
    <mergeCell ref="L132:O132"/>
    <mergeCell ref="L119:O119"/>
    <mergeCell ref="L120:M120"/>
    <mergeCell ref="N120:O120"/>
    <mergeCell ref="L126:O126"/>
    <mergeCell ref="L127:O127"/>
    <mergeCell ref="D137:G137"/>
    <mergeCell ref="D132:G132"/>
    <mergeCell ref="D133:G133"/>
    <mergeCell ref="D134:G134"/>
    <mergeCell ref="D135:G135"/>
    <mergeCell ref="D136:G136"/>
    <mergeCell ref="D127:G127"/>
    <mergeCell ref="D128:G128"/>
    <mergeCell ref="D129:G129"/>
    <mergeCell ref="D130:G130"/>
    <mergeCell ref="D131:G131"/>
    <mergeCell ref="C72:D72"/>
    <mergeCell ref="H127:K127"/>
    <mergeCell ref="H136:K136"/>
    <mergeCell ref="H137:K137"/>
    <mergeCell ref="H128:K128"/>
    <mergeCell ref="H129:K129"/>
    <mergeCell ref="H130:K130"/>
    <mergeCell ref="H131:K131"/>
    <mergeCell ref="H132:K132"/>
    <mergeCell ref="H133:K133"/>
    <mergeCell ref="H134:K134"/>
    <mergeCell ref="H135:K135"/>
    <mergeCell ref="C104:D104"/>
    <mergeCell ref="H119:K119"/>
    <mergeCell ref="H120:I120"/>
    <mergeCell ref="J120:K120"/>
    <mergeCell ref="H126:K126"/>
    <mergeCell ref="D119:G119"/>
    <mergeCell ref="D120:E120"/>
    <mergeCell ref="F120:G120"/>
    <mergeCell ref="D126:G126"/>
  </mergeCells>
  <phoneticPr fontId="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0"/>
  <sheetViews>
    <sheetView topLeftCell="C1" zoomScale="110" zoomScaleNormal="110" workbookViewId="0"/>
  </sheetViews>
  <sheetFormatPr defaultColWidth="9.140625" defaultRowHeight="15"/>
  <cols>
    <col min="1" max="1" width="9.140625" style="344"/>
    <col min="2" max="2" width="31.7109375" style="344" customWidth="1"/>
    <col min="3" max="3" width="10.28515625" style="344" customWidth="1"/>
    <col min="4" max="4" width="10.140625" style="344" bestFit="1" customWidth="1"/>
    <col min="5" max="16384" width="9.140625" style="344"/>
  </cols>
  <sheetData>
    <row r="1" spans="1:19">
      <c r="A1" s="269" t="s">
        <v>248</v>
      </c>
      <c r="B1" s="95" t="s">
        <v>336</v>
      </c>
    </row>
    <row r="2" spans="1:19">
      <c r="B2" s="295" t="s">
        <v>13</v>
      </c>
      <c r="C2" s="296" t="s">
        <v>241</v>
      </c>
      <c r="D2" s="547">
        <f>Założenia!E14</f>
        <v>2021</v>
      </c>
      <c r="E2" s="298">
        <f t="shared" ref="E2:S2" si="0">D2+1</f>
        <v>2022</v>
      </c>
      <c r="F2" s="298">
        <f t="shared" si="0"/>
        <v>2023</v>
      </c>
      <c r="G2" s="298">
        <f t="shared" si="0"/>
        <v>2024</v>
      </c>
      <c r="H2" s="298">
        <f t="shared" si="0"/>
        <v>2025</v>
      </c>
      <c r="I2" s="298">
        <f t="shared" si="0"/>
        <v>2026</v>
      </c>
      <c r="J2" s="298">
        <f t="shared" si="0"/>
        <v>2027</v>
      </c>
      <c r="K2" s="298">
        <f t="shared" si="0"/>
        <v>2028</v>
      </c>
      <c r="L2" s="298">
        <f t="shared" si="0"/>
        <v>2029</v>
      </c>
      <c r="M2" s="298">
        <f t="shared" si="0"/>
        <v>2030</v>
      </c>
      <c r="N2" s="298">
        <f t="shared" si="0"/>
        <v>2031</v>
      </c>
      <c r="O2" s="298">
        <f t="shared" si="0"/>
        <v>2032</v>
      </c>
      <c r="P2" s="298">
        <f t="shared" si="0"/>
        <v>2033</v>
      </c>
      <c r="Q2" s="298">
        <f t="shared" si="0"/>
        <v>2034</v>
      </c>
      <c r="R2" s="298">
        <f t="shared" si="0"/>
        <v>2035</v>
      </c>
      <c r="S2" s="298">
        <f t="shared" si="0"/>
        <v>2036</v>
      </c>
    </row>
    <row r="3" spans="1:19" s="345" customFormat="1" ht="9.75" customHeight="1">
      <c r="B3" s="371"/>
      <c r="C3" s="372"/>
      <c r="D3" s="372"/>
      <c r="E3" s="37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</row>
    <row r="4" spans="1:19" s="383" customFormat="1" ht="12">
      <c r="A4" s="340">
        <v>1</v>
      </c>
      <c r="B4" s="384" t="s">
        <v>354</v>
      </c>
      <c r="C4" s="296" t="s">
        <v>353</v>
      </c>
      <c r="D4" s="413">
        <f>Założenia!D233/1000000</f>
        <v>2.198</v>
      </c>
      <c r="E4" s="413">
        <f>Założenia!E233/1000000</f>
        <v>2.2002383639399001</v>
      </c>
      <c r="F4" s="413">
        <f>Założenia!F233/1000000</f>
        <v>2.2002383639399001</v>
      </c>
      <c r="G4" s="413">
        <f>Założenia!G233/1000000</f>
        <v>2.2002383639399001</v>
      </c>
      <c r="H4" s="413">
        <f>Założenia!H233/1000000</f>
        <v>2.2002383639399001</v>
      </c>
      <c r="I4" s="413">
        <f>Założenia!I233/1000000</f>
        <v>2.2002383639399001</v>
      </c>
      <c r="J4" s="413">
        <f>Założenia!J233/1000000</f>
        <v>2.2002383639399001</v>
      </c>
      <c r="K4" s="413">
        <f>Założenia!K233/1000000</f>
        <v>2.20031</v>
      </c>
      <c r="L4" s="413">
        <f>Założenia!L233/1000000</f>
        <v>2.20031</v>
      </c>
      <c r="M4" s="413">
        <f>Założenia!M233/1000000</f>
        <v>2.20031</v>
      </c>
      <c r="N4" s="413">
        <f>Założenia!N233/1000000</f>
        <v>2.20031</v>
      </c>
      <c r="O4" s="413">
        <f>Założenia!O233/1000000</f>
        <v>2.20031</v>
      </c>
      <c r="P4" s="413">
        <f>Założenia!P233/1000000</f>
        <v>2.20031</v>
      </c>
      <c r="Q4" s="413">
        <f>Założenia!Q233/1000000</f>
        <v>2.20031</v>
      </c>
      <c r="R4" s="413">
        <f>Założenia!R233/1000000</f>
        <v>2.20031</v>
      </c>
      <c r="S4" s="413">
        <f>Założenia!S233/1000000</f>
        <v>2.20031</v>
      </c>
    </row>
    <row r="5" spans="1:19" s="383" customFormat="1" ht="27.75" customHeight="1">
      <c r="A5" s="664" t="s">
        <v>381</v>
      </c>
      <c r="B5" s="664"/>
      <c r="C5" s="296"/>
      <c r="D5" s="665"/>
      <c r="E5" s="665"/>
      <c r="F5" s="665"/>
      <c r="G5" s="665"/>
      <c r="H5" s="665"/>
      <c r="I5" s="665"/>
      <c r="J5" s="665"/>
      <c r="K5" s="665"/>
      <c r="L5" s="665"/>
      <c r="M5" s="665"/>
      <c r="N5" s="665"/>
      <c r="O5" s="665"/>
      <c r="P5" s="665"/>
      <c r="Q5" s="665"/>
      <c r="R5" s="666"/>
    </row>
    <row r="6" spans="1:19" s="383" customFormat="1" ht="12">
      <c r="A6" s="584">
        <v>2</v>
      </c>
      <c r="B6" s="585" t="s">
        <v>412</v>
      </c>
      <c r="C6" s="296" t="s">
        <v>465</v>
      </c>
      <c r="D6" s="602">
        <v>9687.0967741935492</v>
      </c>
      <c r="E6" s="602">
        <v>9438.709677419356</v>
      </c>
      <c r="F6" s="602">
        <v>5634.8387096774195</v>
      </c>
      <c r="G6" s="602">
        <v>6390.8610480093348</v>
      </c>
      <c r="H6" s="602">
        <v>6877.1877408518294</v>
      </c>
      <c r="I6" s="602">
        <v>7243.6146020788492</v>
      </c>
      <c r="J6" s="602">
        <v>7540.7185407148563</v>
      </c>
      <c r="K6" s="602">
        <v>7792.1656100759683</v>
      </c>
      <c r="L6" s="602">
        <v>8011.0627297143319</v>
      </c>
      <c r="M6" s="602">
        <v>8205.4758952023531</v>
      </c>
      <c r="N6" s="602">
        <v>8380.7436700121962</v>
      </c>
      <c r="O6" s="602">
        <v>8540.5935587345066</v>
      </c>
      <c r="P6" s="602">
        <v>8687.737244805212</v>
      </c>
      <c r="Q6" s="602">
        <v>8824.2126678353743</v>
      </c>
      <c r="R6" s="602">
        <f>Q6</f>
        <v>8824.2126678353743</v>
      </c>
      <c r="S6" s="602">
        <f>R6</f>
        <v>8824.2126678353743</v>
      </c>
    </row>
    <row r="7" spans="1:19" s="383" customFormat="1" ht="12">
      <c r="A7" s="340">
        <v>3</v>
      </c>
      <c r="B7" s="384" t="s">
        <v>337</v>
      </c>
      <c r="C7" s="296" t="s">
        <v>352</v>
      </c>
      <c r="D7" s="413">
        <v>9.03707483870968</v>
      </c>
      <c r="E7" s="413">
        <v>8.5131129032258066</v>
      </c>
      <c r="F7" s="413">
        <v>5.6134845161290325</v>
      </c>
      <c r="G7" s="413">
        <v>6.3666417773626591</v>
      </c>
      <c r="H7" s="413">
        <v>6.7422730504320585</v>
      </c>
      <c r="I7" s="413">
        <v>6.9868592351436991</v>
      </c>
      <c r="J7" s="413">
        <v>7.1540773085194225</v>
      </c>
      <c r="K7" s="413">
        <v>7.2692970262742858</v>
      </c>
      <c r="L7" s="413">
        <v>7.423897918017607</v>
      </c>
      <c r="M7" s="413">
        <v>7.5532499995176545</v>
      </c>
      <c r="N7" s="413">
        <v>7.6626892755108651</v>
      </c>
      <c r="O7" s="413">
        <v>7.7559564678226414</v>
      </c>
      <c r="P7" s="413">
        <v>7.8357837634866252</v>
      </c>
      <c r="Q7" s="413">
        <v>7.9588758729463294</v>
      </c>
      <c r="R7" s="413">
        <f>Q7</f>
        <v>7.9588758729463294</v>
      </c>
      <c r="S7" s="413">
        <f>R7</f>
        <v>7.9588758729463294</v>
      </c>
    </row>
    <row r="8" spans="1:19" s="383" customFormat="1" ht="12"/>
    <row r="10" spans="1:19">
      <c r="D10" s="595"/>
      <c r="E10" s="595"/>
      <c r="F10" s="595"/>
      <c r="G10" s="595"/>
      <c r="H10" s="595"/>
      <c r="I10" s="595"/>
      <c r="J10" s="595"/>
      <c r="K10" s="595"/>
      <c r="L10" s="595"/>
      <c r="M10" s="595"/>
      <c r="N10" s="595"/>
      <c r="O10" s="595"/>
      <c r="P10" s="595"/>
      <c r="Q10" s="595"/>
      <c r="R10" s="595"/>
      <c r="S10" s="595"/>
    </row>
  </sheetData>
  <mergeCells count="2">
    <mergeCell ref="A5:B5"/>
    <mergeCell ref="D5:R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C800E-6DFE-43C6-AE42-906280B50B9A}">
  <sheetPr>
    <pageSetUpPr fitToPage="1"/>
  </sheetPr>
  <dimension ref="A2:V685"/>
  <sheetViews>
    <sheetView showGridLines="0" zoomScaleNormal="100" workbookViewId="0">
      <pane ySplit="5" topLeftCell="A6" activePane="bottomLeft" state="frozen"/>
      <selection pane="bottomLeft"/>
    </sheetView>
  </sheetViews>
  <sheetFormatPr defaultRowHeight="12.75" outlineLevelCol="1"/>
  <cols>
    <col min="1" max="1" width="10.42578125" bestFit="1" customWidth="1"/>
    <col min="2" max="2" width="57.7109375" style="24" customWidth="1"/>
    <col min="3" max="3" width="11.42578125" style="25" bestFit="1" customWidth="1"/>
    <col min="4" max="4" width="10.5703125" style="25" bestFit="1" customWidth="1"/>
    <col min="5" max="5" width="13.42578125" bestFit="1" customWidth="1"/>
    <col min="6" max="7" width="12.28515625" customWidth="1"/>
    <col min="8" max="8" width="11.85546875" customWidth="1"/>
    <col min="9" max="9" width="12.28515625" customWidth="1"/>
    <col min="10" max="13" width="12.28515625" customWidth="1" outlineLevel="1"/>
    <col min="14" max="14" width="12.28515625" customWidth="1"/>
    <col min="15" max="18" width="12.28515625" customWidth="1" outlineLevel="1"/>
    <col min="19" max="19" width="12.28515625" customWidth="1"/>
    <col min="20" max="20" width="12.28515625" customWidth="1" outlineLevel="1"/>
  </cols>
  <sheetData>
    <row r="2" spans="1:21">
      <c r="E2" s="168">
        <v>0</v>
      </c>
      <c r="F2" s="168">
        <f t="shared" ref="F2:T2" si="0">E2+1</f>
        <v>1</v>
      </c>
      <c r="G2" s="168">
        <f t="shared" si="0"/>
        <v>2</v>
      </c>
      <c r="H2" s="168">
        <f t="shared" si="0"/>
        <v>3</v>
      </c>
      <c r="I2" s="168">
        <f t="shared" si="0"/>
        <v>4</v>
      </c>
      <c r="J2" s="168">
        <f t="shared" si="0"/>
        <v>5</v>
      </c>
      <c r="K2" s="168">
        <f t="shared" si="0"/>
        <v>6</v>
      </c>
      <c r="L2" s="168">
        <f t="shared" si="0"/>
        <v>7</v>
      </c>
      <c r="M2" s="168">
        <f t="shared" si="0"/>
        <v>8</v>
      </c>
      <c r="N2" s="168">
        <f t="shared" si="0"/>
        <v>9</v>
      </c>
      <c r="O2" s="168">
        <f t="shared" si="0"/>
        <v>10</v>
      </c>
      <c r="P2" s="168">
        <f t="shared" si="0"/>
        <v>11</v>
      </c>
      <c r="Q2" s="168">
        <f t="shared" si="0"/>
        <v>12</v>
      </c>
      <c r="R2" s="168">
        <f t="shared" si="0"/>
        <v>13</v>
      </c>
      <c r="S2" s="168">
        <f t="shared" si="0"/>
        <v>14</v>
      </c>
      <c r="T2" s="168">
        <f t="shared" si="0"/>
        <v>15</v>
      </c>
    </row>
    <row r="3" spans="1:21">
      <c r="A3" s="1"/>
      <c r="B3" s="293" t="s">
        <v>369</v>
      </c>
      <c r="C3" s="293"/>
      <c r="D3" s="523"/>
      <c r="E3" s="293"/>
      <c r="F3" s="293"/>
      <c r="G3" s="667"/>
      <c r="H3" s="667"/>
      <c r="I3" s="667"/>
      <c r="J3" s="667"/>
      <c r="K3" s="667"/>
      <c r="L3" s="667"/>
      <c r="M3" s="667"/>
      <c r="N3" s="667"/>
      <c r="O3" s="667"/>
      <c r="P3" s="667"/>
      <c r="Q3" s="667"/>
      <c r="R3" s="667"/>
      <c r="S3" s="667"/>
      <c r="T3" s="667"/>
      <c r="U3" s="1"/>
    </row>
    <row r="4" spans="1:21">
      <c r="A4" s="1"/>
      <c r="B4" s="100"/>
      <c r="C4" s="84"/>
      <c r="D4" s="84"/>
      <c r="E4" s="1"/>
      <c r="F4" s="1"/>
      <c r="G4" s="1"/>
      <c r="H4" s="1"/>
      <c r="I4" s="281"/>
      <c r="J4" s="1"/>
      <c r="K4" s="1"/>
      <c r="L4" s="1"/>
      <c r="M4" s="281"/>
      <c r="N4" s="281"/>
      <c r="O4" s="281"/>
      <c r="P4" s="281"/>
      <c r="Q4" s="281"/>
      <c r="R4" s="281"/>
      <c r="S4" s="281"/>
      <c r="T4" s="281"/>
      <c r="U4" s="1"/>
    </row>
    <row r="5" spans="1:21">
      <c r="A5" s="1"/>
      <c r="B5" s="295" t="s">
        <v>13</v>
      </c>
      <c r="C5" s="296" t="s">
        <v>241</v>
      </c>
      <c r="D5" s="296" t="s">
        <v>15</v>
      </c>
      <c r="E5" s="297">
        <f>Założenia!E6</f>
        <v>2021</v>
      </c>
      <c r="F5" s="298">
        <f t="shared" ref="F5:T5" si="1">E5+1</f>
        <v>2022</v>
      </c>
      <c r="G5" s="298">
        <f t="shared" si="1"/>
        <v>2023</v>
      </c>
      <c r="H5" s="298">
        <f t="shared" si="1"/>
        <v>2024</v>
      </c>
      <c r="I5" s="298">
        <f t="shared" si="1"/>
        <v>2025</v>
      </c>
      <c r="J5" s="298">
        <f t="shared" si="1"/>
        <v>2026</v>
      </c>
      <c r="K5" s="298">
        <f t="shared" si="1"/>
        <v>2027</v>
      </c>
      <c r="L5" s="298">
        <f t="shared" si="1"/>
        <v>2028</v>
      </c>
      <c r="M5" s="298">
        <f t="shared" si="1"/>
        <v>2029</v>
      </c>
      <c r="N5" s="298">
        <f t="shared" si="1"/>
        <v>2030</v>
      </c>
      <c r="O5" s="298">
        <f t="shared" si="1"/>
        <v>2031</v>
      </c>
      <c r="P5" s="298">
        <f t="shared" si="1"/>
        <v>2032</v>
      </c>
      <c r="Q5" s="298">
        <f t="shared" si="1"/>
        <v>2033</v>
      </c>
      <c r="R5" s="298">
        <f t="shared" si="1"/>
        <v>2034</v>
      </c>
      <c r="S5" s="298">
        <f t="shared" si="1"/>
        <v>2035</v>
      </c>
      <c r="T5" s="298">
        <f t="shared" si="1"/>
        <v>2036</v>
      </c>
      <c r="U5" s="1"/>
    </row>
    <row r="6" spans="1:21">
      <c r="A6" s="1"/>
      <c r="B6" s="100"/>
      <c r="C6" s="84"/>
      <c r="D6" s="8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>
      <c r="A7" s="1"/>
      <c r="B7" s="100"/>
      <c r="C7" s="84"/>
      <c r="D7" s="84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"/>
    </row>
    <row r="8" spans="1:21" s="1" customFormat="1" ht="12">
      <c r="A8" s="269" t="s">
        <v>248</v>
      </c>
      <c r="B8" s="95" t="s">
        <v>276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1" s="26" customFormat="1">
      <c r="A9" s="108" t="s">
        <v>34</v>
      </c>
      <c r="B9" s="299" t="s">
        <v>299</v>
      </c>
      <c r="C9" s="214" t="s">
        <v>0</v>
      </c>
      <c r="D9" s="300"/>
      <c r="E9" s="125">
        <f>przychody!D7*1000000</f>
        <v>9037074.8387096804</v>
      </c>
      <c r="F9" s="125">
        <f>przychody!E7*1000000</f>
        <v>8513112.9032258075</v>
      </c>
      <c r="G9" s="125">
        <f>przychody!F7*1000000</f>
        <v>5613484.5161290327</v>
      </c>
      <c r="H9" s="125">
        <f>przychody!G7*1000000</f>
        <v>6366641.7773626596</v>
      </c>
      <c r="I9" s="125">
        <f>przychody!H7*1000000</f>
        <v>6742273.0504320581</v>
      </c>
      <c r="J9" s="125">
        <f>przychody!I7*1000000</f>
        <v>6986859.2351436988</v>
      </c>
      <c r="K9" s="125">
        <f>przychody!J7*1000000</f>
        <v>7154077.3085194221</v>
      </c>
      <c r="L9" s="125">
        <f>przychody!K7*1000000</f>
        <v>7269297.0262742862</v>
      </c>
      <c r="M9" s="125">
        <f>przychody!L7*1000000</f>
        <v>7423897.9180176072</v>
      </c>
      <c r="N9" s="125">
        <f>przychody!M7*1000000</f>
        <v>7553249.9995176541</v>
      </c>
      <c r="O9" s="125">
        <f>przychody!N7*1000000</f>
        <v>7662689.2755108653</v>
      </c>
      <c r="P9" s="125">
        <f>przychody!O7*1000000</f>
        <v>7755956.4678226411</v>
      </c>
      <c r="Q9" s="125">
        <f>przychody!P7*1000000</f>
        <v>7835783.7634866256</v>
      </c>
      <c r="R9" s="125">
        <f>przychody!Q7*1000000</f>
        <v>7958875.8729463294</v>
      </c>
      <c r="S9" s="125">
        <f>przychody!R7*1000000</f>
        <v>7958875.8729463294</v>
      </c>
      <c r="T9" s="125">
        <f>przychody!S7*1000000</f>
        <v>7958875.8729463294</v>
      </c>
      <c r="U9" s="13"/>
    </row>
    <row r="10" spans="1:21" s="26" customFormat="1">
      <c r="A10" s="108" t="s">
        <v>35</v>
      </c>
      <c r="B10" s="299" t="s">
        <v>75</v>
      </c>
      <c r="C10" s="214" t="s">
        <v>0</v>
      </c>
      <c r="D10" s="300"/>
      <c r="E10" s="125">
        <f t="shared" ref="E10:T10" si="2">E11+E40</f>
        <v>12298792.646329261</v>
      </c>
      <c r="F10" s="125">
        <f t="shared" si="2"/>
        <v>12356901.136689913</v>
      </c>
      <c r="G10" s="125">
        <f t="shared" si="2"/>
        <v>12412205.231335383</v>
      </c>
      <c r="H10" s="125">
        <f t="shared" si="2"/>
        <v>12467509.325980853</v>
      </c>
      <c r="I10" s="125">
        <f t="shared" si="2"/>
        <v>12522813.420626324</v>
      </c>
      <c r="J10" s="125">
        <f t="shared" si="2"/>
        <v>12578117.515271794</v>
      </c>
      <c r="K10" s="125">
        <f t="shared" si="2"/>
        <v>12849107.579034597</v>
      </c>
      <c r="L10" s="125">
        <f t="shared" si="2"/>
        <v>12979931.391309857</v>
      </c>
      <c r="M10" s="125">
        <f t="shared" si="2"/>
        <v>13043533.170851685</v>
      </c>
      <c r="N10" s="125">
        <f t="shared" si="2"/>
        <v>13107134.950393517</v>
      </c>
      <c r="O10" s="125">
        <f t="shared" si="2"/>
        <v>13170736.729935344</v>
      </c>
      <c r="P10" s="125">
        <f t="shared" si="2"/>
        <v>13234338.509477176</v>
      </c>
      <c r="Q10" s="125">
        <f t="shared" si="2"/>
        <v>13297940.289019004</v>
      </c>
      <c r="R10" s="125">
        <f t="shared" si="2"/>
        <v>12979931.391309857</v>
      </c>
      <c r="S10" s="125">
        <f t="shared" si="2"/>
        <v>13043533.170851685</v>
      </c>
      <c r="T10" s="125">
        <f t="shared" si="2"/>
        <v>13107134.950393517</v>
      </c>
      <c r="U10" s="13"/>
    </row>
    <row r="11" spans="1:21" s="26" customFormat="1">
      <c r="A11" s="108" t="s">
        <v>375</v>
      </c>
      <c r="B11" s="299" t="s">
        <v>374</v>
      </c>
      <c r="C11" s="214"/>
      <c r="D11" s="300"/>
      <c r="E11" s="125">
        <f>E12+E33+E35+E36+E37+E34</f>
        <v>10950076.108431185</v>
      </c>
      <c r="F11" s="125">
        <f t="shared" ref="F11:T11" si="3">F12+F33+F35+F36+F37+F34</f>
        <v>11008184.598791836</v>
      </c>
      <c r="G11" s="125">
        <f t="shared" si="3"/>
        <v>11063488.693437306</v>
      </c>
      <c r="H11" s="125">
        <f t="shared" si="3"/>
        <v>11118792.788082777</v>
      </c>
      <c r="I11" s="125">
        <f t="shared" si="3"/>
        <v>11174096.882728247</v>
      </c>
      <c r="J11" s="125">
        <f t="shared" si="3"/>
        <v>11229400.977373717</v>
      </c>
      <c r="K11" s="125">
        <f t="shared" si="3"/>
        <v>11500391.041136522</v>
      </c>
      <c r="L11" s="125">
        <f t="shared" si="3"/>
        <v>11631214.853411781</v>
      </c>
      <c r="M11" s="125">
        <f t="shared" si="3"/>
        <v>11694816.63295361</v>
      </c>
      <c r="N11" s="125">
        <f t="shared" si="3"/>
        <v>11758418.41249544</v>
      </c>
      <c r="O11" s="125">
        <f t="shared" si="3"/>
        <v>11822020.192037269</v>
      </c>
      <c r="P11" s="125">
        <f t="shared" si="3"/>
        <v>11885621.971579099</v>
      </c>
      <c r="Q11" s="125">
        <f t="shared" si="3"/>
        <v>11949223.751120929</v>
      </c>
      <c r="R11" s="125">
        <f t="shared" si="3"/>
        <v>11631214.853411781</v>
      </c>
      <c r="S11" s="125">
        <f t="shared" si="3"/>
        <v>11694816.63295361</v>
      </c>
      <c r="T11" s="125">
        <f t="shared" si="3"/>
        <v>11758418.41249544</v>
      </c>
      <c r="U11" s="13"/>
    </row>
    <row r="12" spans="1:21" s="13" customFormat="1" ht="12">
      <c r="A12" s="108" t="s">
        <v>49</v>
      </c>
      <c r="B12" s="118" t="s">
        <v>80</v>
      </c>
      <c r="C12" s="301" t="s">
        <v>0</v>
      </c>
      <c r="D12" s="302"/>
      <c r="E12" s="22">
        <f t="shared" ref="E12:T12" si="4">E13+E15+E24</f>
        <v>2210847.2693271409</v>
      </c>
      <c r="F12" s="22">
        <f t="shared" si="4"/>
        <v>2234160.4511624528</v>
      </c>
      <c r="G12" s="22">
        <f t="shared" si="4"/>
        <v>2255363.0846600528</v>
      </c>
      <c r="H12" s="22">
        <f t="shared" si="4"/>
        <v>2276565.7181576528</v>
      </c>
      <c r="I12" s="22">
        <f t="shared" si="4"/>
        <v>2297768.3516552527</v>
      </c>
      <c r="J12" s="22">
        <f t="shared" si="4"/>
        <v>2318970.9851528527</v>
      </c>
      <c r="K12" s="22">
        <f t="shared" si="4"/>
        <v>2422863.8892910923</v>
      </c>
      <c r="L12" s="22">
        <f t="shared" si="4"/>
        <v>2464589.8548674555</v>
      </c>
      <c r="M12" s="22">
        <f t="shared" si="4"/>
        <v>2488973.6772600897</v>
      </c>
      <c r="N12" s="22">
        <f t="shared" si="4"/>
        <v>2513357.4996527233</v>
      </c>
      <c r="O12" s="22">
        <f t="shared" si="4"/>
        <v>2537741.322045357</v>
      </c>
      <c r="P12" s="22">
        <f t="shared" si="4"/>
        <v>2562125.1444379911</v>
      </c>
      <c r="Q12" s="22">
        <f t="shared" si="4"/>
        <v>2586508.9668306247</v>
      </c>
      <c r="R12" s="22">
        <f t="shared" si="4"/>
        <v>2464589.8548674555</v>
      </c>
      <c r="S12" s="22">
        <f t="shared" si="4"/>
        <v>2488973.6772600897</v>
      </c>
      <c r="T12" s="22">
        <f t="shared" si="4"/>
        <v>2513357.4996527233</v>
      </c>
    </row>
    <row r="13" spans="1:21" s="1" customFormat="1" ht="12">
      <c r="A13" s="96" t="s">
        <v>56</v>
      </c>
      <c r="B13" s="109" t="s">
        <v>212</v>
      </c>
      <c r="C13" s="214" t="s">
        <v>0</v>
      </c>
      <c r="D13" s="300"/>
      <c r="E13" s="23">
        <f>Założenia!$E$213+E14</f>
        <v>138358</v>
      </c>
      <c r="F13" s="23">
        <f>Założenia!$E$213+F14</f>
        <v>138358</v>
      </c>
      <c r="G13" s="23">
        <f>Założenia!$E$213+G14</f>
        <v>138358</v>
      </c>
      <c r="H13" s="23">
        <f>Założenia!$E$213+H14</f>
        <v>138358</v>
      </c>
      <c r="I13" s="23">
        <f>Założenia!$E$213+I14</f>
        <v>138358</v>
      </c>
      <c r="J13" s="23">
        <f>Założenia!$E$213+J14</f>
        <v>138358</v>
      </c>
      <c r="K13" s="23">
        <f>Założenia!$E$213+K14</f>
        <v>138358</v>
      </c>
      <c r="L13" s="23">
        <f>Założenia!$E$213+L14</f>
        <v>138358</v>
      </c>
      <c r="M13" s="23">
        <f>Założenia!$E$213+M14</f>
        <v>138358</v>
      </c>
      <c r="N13" s="23">
        <f>Założenia!$E$213+N14</f>
        <v>138358</v>
      </c>
      <c r="O13" s="23">
        <f>Założenia!$E$213+O14</f>
        <v>138358</v>
      </c>
      <c r="P13" s="23">
        <f>Założenia!$E$213+P14</f>
        <v>138358</v>
      </c>
      <c r="Q13" s="23">
        <f>Założenia!$E$213+Q14</f>
        <v>138358</v>
      </c>
      <c r="R13" s="23">
        <f>Założenia!$E$213+R14</f>
        <v>138358</v>
      </c>
      <c r="S13" s="23">
        <f>Założenia!$E$213+S14</f>
        <v>138358</v>
      </c>
      <c r="T13" s="23">
        <f>Założenia!$E$213+T14</f>
        <v>138358</v>
      </c>
    </row>
    <row r="14" spans="1:21" s="1" customFormat="1" ht="12">
      <c r="A14" s="96"/>
      <c r="B14" s="109" t="s">
        <v>228</v>
      </c>
      <c r="C14" s="214" t="s">
        <v>0</v>
      </c>
      <c r="D14" s="300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</row>
    <row r="15" spans="1:21" s="1" customFormat="1" ht="12">
      <c r="A15" s="96" t="s">
        <v>57</v>
      </c>
      <c r="B15" s="109" t="s">
        <v>211</v>
      </c>
      <c r="C15" s="214" t="s">
        <v>0</v>
      </c>
      <c r="D15" s="300"/>
      <c r="E15" s="23">
        <f>E16</f>
        <v>1648868</v>
      </c>
      <c r="F15" s="23">
        <f t="shared" ref="F15:T15" si="5">F16</f>
        <v>1650547.1477128549</v>
      </c>
      <c r="G15" s="23">
        <f t="shared" si="5"/>
        <v>1650547.1477128549</v>
      </c>
      <c r="H15" s="23">
        <f t="shared" si="5"/>
        <v>1650547.1477128549</v>
      </c>
      <c r="I15" s="23">
        <f t="shared" si="5"/>
        <v>1650547.1477128549</v>
      </c>
      <c r="J15" s="23">
        <f t="shared" si="5"/>
        <v>1650547.1477128549</v>
      </c>
      <c r="K15" s="23">
        <f t="shared" si="5"/>
        <v>1650547.1477128549</v>
      </c>
      <c r="L15" s="23">
        <f t="shared" si="5"/>
        <v>1645269.01</v>
      </c>
      <c r="M15" s="23">
        <f t="shared" si="5"/>
        <v>1645269.01</v>
      </c>
      <c r="N15" s="23">
        <f t="shared" si="5"/>
        <v>1645269.01</v>
      </c>
      <c r="O15" s="23">
        <f t="shared" si="5"/>
        <v>1645269.01</v>
      </c>
      <c r="P15" s="23">
        <f t="shared" si="5"/>
        <v>1645269.01</v>
      </c>
      <c r="Q15" s="23">
        <f t="shared" si="5"/>
        <v>1645269.01</v>
      </c>
      <c r="R15" s="23">
        <f t="shared" si="5"/>
        <v>1645269.01</v>
      </c>
      <c r="S15" s="23">
        <f t="shared" si="5"/>
        <v>1645269.01</v>
      </c>
      <c r="T15" s="23">
        <f t="shared" si="5"/>
        <v>1645269.01</v>
      </c>
    </row>
    <row r="16" spans="1:21" s="1" customFormat="1" ht="12">
      <c r="A16" s="96" t="s">
        <v>348</v>
      </c>
      <c r="B16" s="109" t="s">
        <v>343</v>
      </c>
      <c r="C16" s="214" t="s">
        <v>0</v>
      </c>
      <c r="D16" s="300"/>
      <c r="E16" s="23">
        <f>SUM(E17:E23)</f>
        <v>1648868</v>
      </c>
      <c r="F16" s="23">
        <f t="shared" ref="F16:T16" si="6">SUM(F17:F23)</f>
        <v>1650547.1477128549</v>
      </c>
      <c r="G16" s="23">
        <f t="shared" si="6"/>
        <v>1650547.1477128549</v>
      </c>
      <c r="H16" s="23">
        <f t="shared" si="6"/>
        <v>1650547.1477128549</v>
      </c>
      <c r="I16" s="23">
        <f t="shared" si="6"/>
        <v>1650547.1477128549</v>
      </c>
      <c r="J16" s="23">
        <f t="shared" si="6"/>
        <v>1650547.1477128549</v>
      </c>
      <c r="K16" s="23">
        <f t="shared" si="6"/>
        <v>1650547.1477128549</v>
      </c>
      <c r="L16" s="23">
        <f t="shared" si="6"/>
        <v>1645269.01</v>
      </c>
      <c r="M16" s="23">
        <f t="shared" si="6"/>
        <v>1645269.01</v>
      </c>
      <c r="N16" s="23">
        <f t="shared" si="6"/>
        <v>1645269.01</v>
      </c>
      <c r="O16" s="23">
        <f t="shared" si="6"/>
        <v>1645269.01</v>
      </c>
      <c r="P16" s="23">
        <f t="shared" si="6"/>
        <v>1645269.01</v>
      </c>
      <c r="Q16" s="23">
        <f t="shared" si="6"/>
        <v>1645269.01</v>
      </c>
      <c r="R16" s="23">
        <f t="shared" si="6"/>
        <v>1645269.01</v>
      </c>
      <c r="S16" s="23">
        <f t="shared" si="6"/>
        <v>1645269.01</v>
      </c>
      <c r="T16" s="23">
        <f t="shared" si="6"/>
        <v>1645269.01</v>
      </c>
    </row>
    <row r="17" spans="1:20" s="1" customFormat="1" ht="12">
      <c r="A17" s="96"/>
      <c r="B17" s="109" t="s">
        <v>426</v>
      </c>
      <c r="C17" s="214" t="s">
        <v>0</v>
      </c>
      <c r="D17" s="300"/>
      <c r="E17" s="23">
        <f>(Założenia!D247*Założenia!D258*Założenia!$G53/100)*Założenia!$E$175</f>
        <v>0</v>
      </c>
      <c r="F17" s="23">
        <f>(Założenia!E247*Założenia!E258*Założenia!$G53/100)*Założenia!$E$175</f>
        <v>0</v>
      </c>
      <c r="G17" s="23">
        <f>(Założenia!F247*Założenia!F258*Założenia!$G53/100)*Założenia!$E$175</f>
        <v>0</v>
      </c>
      <c r="H17" s="23">
        <f>(Założenia!G247*Założenia!G258*Założenia!$G53/100)*Założenia!$E$175</f>
        <v>0</v>
      </c>
      <c r="I17" s="23">
        <f>(Założenia!H247*Założenia!H258*Założenia!$G53/100)*Założenia!$E$175</f>
        <v>0</v>
      </c>
      <c r="J17" s="23">
        <f>(Założenia!I247*Założenia!I258*Założenia!$G53/100)*Założenia!$E$175</f>
        <v>0</v>
      </c>
      <c r="K17" s="23">
        <f>(Założenia!J247*Założenia!J258*Założenia!$G53/100)*Założenia!$E$175</f>
        <v>0</v>
      </c>
      <c r="L17" s="23">
        <f>(Założenia!K247*Założenia!K258*Założenia!$G53/100)*Założenia!$E$175</f>
        <v>0</v>
      </c>
      <c r="M17" s="23">
        <f>(Założenia!L247*Założenia!L258*Założenia!$G53/100)*Założenia!$E$175</f>
        <v>0</v>
      </c>
      <c r="N17" s="23">
        <f>(Założenia!M247*Założenia!M258*Założenia!$G53/100)*Założenia!$E$175</f>
        <v>0</v>
      </c>
      <c r="O17" s="23">
        <f>(Założenia!N247*Założenia!N258*Założenia!$G53/100)*Założenia!$E$175</f>
        <v>0</v>
      </c>
      <c r="P17" s="23">
        <f>(Założenia!O247*Założenia!O258*Założenia!$G53/100)*Założenia!$E$175</f>
        <v>0</v>
      </c>
      <c r="Q17" s="23">
        <f>(Założenia!P247*Założenia!P258*Założenia!$G53/100)*Założenia!$E$175</f>
        <v>0</v>
      </c>
      <c r="R17" s="23">
        <f>(Założenia!Q247*Założenia!Q258*Założenia!$G53/100)*Założenia!$E$175</f>
        <v>0</v>
      </c>
      <c r="S17" s="23">
        <f>(Założenia!R247*Założenia!R258*Założenia!$G53/100)*Założenia!$E$175</f>
        <v>0</v>
      </c>
      <c r="T17" s="23">
        <f>(Założenia!S247*Założenia!S258*Założenia!$G53/100)*Założenia!$E$175</f>
        <v>0</v>
      </c>
    </row>
    <row r="18" spans="1:20" s="1" customFormat="1" ht="12">
      <c r="A18" s="96"/>
      <c r="B18" s="109" t="s">
        <v>432</v>
      </c>
      <c r="C18" s="214" t="s">
        <v>0</v>
      </c>
      <c r="D18" s="300"/>
      <c r="E18" s="23">
        <f>(Założenia!D248*Założenia!D$263*Założenia!$G54/100)*Założenia!$E$175</f>
        <v>0</v>
      </c>
      <c r="F18" s="23">
        <f>(Założenia!E248*Założenia!E$263*Założenia!$G54/100)*Założenia!$E$175</f>
        <v>0</v>
      </c>
      <c r="G18" s="23">
        <f>(Założenia!F248*Założenia!F$263*Założenia!$G54/100)*Założenia!$E$175</f>
        <v>0</v>
      </c>
      <c r="H18" s="23">
        <f>(Założenia!G248*Założenia!G$263*Założenia!$G54/100)*Założenia!$E$175</f>
        <v>0</v>
      </c>
      <c r="I18" s="23">
        <f>(Założenia!H248*Założenia!H$263*Założenia!$G54/100)*Założenia!$E$175</f>
        <v>0</v>
      </c>
      <c r="J18" s="23">
        <f>(Założenia!I248*Założenia!I$263*Założenia!$G54/100)*Założenia!$E$175</f>
        <v>0</v>
      </c>
      <c r="K18" s="23">
        <f>(Założenia!J248*Założenia!J$263*Założenia!$G54/100)*Założenia!$E$175</f>
        <v>0</v>
      </c>
      <c r="L18" s="23">
        <f>(Założenia!K248*Założenia!K$263*Założenia!$G54/100)*Założenia!$E$175</f>
        <v>0</v>
      </c>
      <c r="M18" s="23">
        <f>(Założenia!L248*Założenia!L$263*Założenia!$G54/100)*Założenia!$E$175</f>
        <v>0</v>
      </c>
      <c r="N18" s="23">
        <f>(Założenia!M248*Założenia!M$263*Założenia!$G54/100)*Założenia!$E$175</f>
        <v>0</v>
      </c>
      <c r="O18" s="23">
        <f>(Założenia!N248*Założenia!N$263*Założenia!$G54/100)*Założenia!$E$175</f>
        <v>0</v>
      </c>
      <c r="P18" s="23">
        <f>(Założenia!O248*Założenia!O$263*Założenia!$G54/100)*Założenia!$E$175</f>
        <v>0</v>
      </c>
      <c r="Q18" s="23">
        <f>(Założenia!P248*Założenia!P$263*Założenia!$G54/100)*Założenia!$E$175</f>
        <v>0</v>
      </c>
      <c r="R18" s="23">
        <f>(Założenia!Q248*Założenia!Q$263*Założenia!$G54/100)*Założenia!$E$175</f>
        <v>0</v>
      </c>
      <c r="S18" s="23">
        <f>(Założenia!R248*Założenia!R$263*Założenia!$G54/100)*Założenia!$E$175</f>
        <v>0</v>
      </c>
      <c r="T18" s="23">
        <f>(Założenia!S248*Założenia!S$263*Założenia!$G54/100)*Założenia!$E$175</f>
        <v>0</v>
      </c>
    </row>
    <row r="19" spans="1:20" s="1" customFormat="1" ht="12">
      <c r="A19" s="96"/>
      <c r="B19" s="109" t="s">
        <v>427</v>
      </c>
      <c r="C19" s="214" t="s">
        <v>0</v>
      </c>
      <c r="D19" s="300"/>
      <c r="E19" s="23">
        <f>(Założenia!D249*Założenia!D$263*Założenia!$G55/100)*Założenia!$E$175</f>
        <v>0</v>
      </c>
      <c r="F19" s="23">
        <f>(Założenia!E249*Założenia!E$263*Założenia!$G55/100)*Założenia!$E$175</f>
        <v>0</v>
      </c>
      <c r="G19" s="23">
        <f>(Założenia!F249*Założenia!F$263*Założenia!$G55/100)*Założenia!$E$175</f>
        <v>0</v>
      </c>
      <c r="H19" s="23">
        <f>(Założenia!G249*Założenia!G$263*Założenia!$G55/100)*Założenia!$E$175</f>
        <v>0</v>
      </c>
      <c r="I19" s="23">
        <f>(Założenia!H249*Założenia!H$263*Założenia!$G55/100)*Założenia!$E$175</f>
        <v>0</v>
      </c>
      <c r="J19" s="23">
        <f>(Założenia!I249*Założenia!I$263*Założenia!$G55/100)*Założenia!$E$175</f>
        <v>0</v>
      </c>
      <c r="K19" s="23">
        <f>(Założenia!J249*Założenia!J$263*Założenia!$G55/100)*Założenia!$E$175</f>
        <v>0</v>
      </c>
      <c r="L19" s="23">
        <f>(Założenia!K249*Założenia!K$263*Założenia!$G55/100)*Założenia!$E$175</f>
        <v>0</v>
      </c>
      <c r="M19" s="23">
        <f>(Założenia!L249*Założenia!L$263*Założenia!$G55/100)*Założenia!$E$175</f>
        <v>0</v>
      </c>
      <c r="N19" s="23">
        <f>(Założenia!M249*Założenia!M$263*Założenia!$G55/100)*Założenia!$E$175</f>
        <v>0</v>
      </c>
      <c r="O19" s="23">
        <f>(Założenia!N249*Założenia!N$263*Założenia!$G55/100)*Założenia!$E$175</f>
        <v>0</v>
      </c>
      <c r="P19" s="23">
        <f>(Założenia!O249*Założenia!O$263*Założenia!$G55/100)*Założenia!$E$175</f>
        <v>0</v>
      </c>
      <c r="Q19" s="23">
        <f>(Założenia!P249*Założenia!P$263*Założenia!$G55/100)*Założenia!$E$175</f>
        <v>0</v>
      </c>
      <c r="R19" s="23">
        <f>(Założenia!Q249*Założenia!Q$263*Założenia!$G55/100)*Założenia!$E$175</f>
        <v>0</v>
      </c>
      <c r="S19" s="23">
        <f>(Założenia!R249*Założenia!R$263*Założenia!$G55/100)*Założenia!$E$175</f>
        <v>0</v>
      </c>
      <c r="T19" s="23">
        <f>(Założenia!S249*Założenia!S$263*Założenia!$G55/100)*Założenia!$E$175</f>
        <v>0</v>
      </c>
    </row>
    <row r="20" spans="1:20" s="1" customFormat="1" ht="12">
      <c r="A20" s="96"/>
      <c r="B20" s="109" t="s">
        <v>428</v>
      </c>
      <c r="C20" s="214" t="s">
        <v>0</v>
      </c>
      <c r="D20" s="300"/>
      <c r="E20" s="23">
        <f>(Założenia!D250*Założenia!D$263*Założenia!$G56/100)*Założenia!$E$175</f>
        <v>0</v>
      </c>
      <c r="F20" s="23">
        <f>(Założenia!E250*Założenia!E$263*Założenia!$G56/100)*Założenia!$E$175</f>
        <v>0</v>
      </c>
      <c r="G20" s="23">
        <f>(Założenia!F250*Założenia!F$263*Założenia!$G56/100)*Założenia!$E$175</f>
        <v>0</v>
      </c>
      <c r="H20" s="23">
        <f>(Założenia!G250*Założenia!G$263*Założenia!$G56/100)*Założenia!$E$175</f>
        <v>0</v>
      </c>
      <c r="I20" s="23">
        <f>(Założenia!H250*Założenia!H$263*Założenia!$G56/100)*Założenia!$E$175</f>
        <v>0</v>
      </c>
      <c r="J20" s="23">
        <f>(Założenia!I250*Założenia!I$263*Założenia!$G56/100)*Założenia!$E$175</f>
        <v>0</v>
      </c>
      <c r="K20" s="23">
        <f>(Założenia!J250*Założenia!J$263*Założenia!$G56/100)*Założenia!$E$175</f>
        <v>0</v>
      </c>
      <c r="L20" s="23">
        <f>(Założenia!K250*Założenia!K$263*Założenia!$G56/100)*Założenia!$E$175</f>
        <v>0</v>
      </c>
      <c r="M20" s="23">
        <f>(Założenia!L250*Założenia!L$263*Założenia!$G56/100)*Założenia!$E$175</f>
        <v>0</v>
      </c>
      <c r="N20" s="23">
        <f>(Założenia!M250*Założenia!M$263*Założenia!$G56/100)*Założenia!$E$175</f>
        <v>0</v>
      </c>
      <c r="O20" s="23">
        <f>(Założenia!N250*Założenia!N$263*Założenia!$G56/100)*Założenia!$E$175</f>
        <v>0</v>
      </c>
      <c r="P20" s="23">
        <f>(Założenia!O250*Założenia!O$263*Założenia!$G56/100)*Założenia!$E$175</f>
        <v>0</v>
      </c>
      <c r="Q20" s="23">
        <f>(Założenia!P250*Założenia!P$263*Założenia!$G56/100)*Założenia!$E$175</f>
        <v>0</v>
      </c>
      <c r="R20" s="23">
        <f>(Założenia!Q250*Założenia!Q$263*Założenia!$G56/100)*Założenia!$E$175</f>
        <v>0</v>
      </c>
      <c r="S20" s="23">
        <f>(Założenia!R250*Założenia!R$263*Założenia!$G56/100)*Założenia!$E$175</f>
        <v>0</v>
      </c>
      <c r="T20" s="23">
        <f>(Założenia!S250*Założenia!S$263*Założenia!$G56/100)*Założenia!$E$175</f>
        <v>0</v>
      </c>
    </row>
    <row r="21" spans="1:20" s="1" customFormat="1" ht="12">
      <c r="A21" s="96"/>
      <c r="B21" s="109" t="s">
        <v>429</v>
      </c>
      <c r="C21" s="214" t="s">
        <v>0</v>
      </c>
      <c r="D21" s="300"/>
      <c r="E21" s="23">
        <f>(Założenia!D251*Założenia!D$263*Założenia!$G57/100)*Założenia!$E$175</f>
        <v>0</v>
      </c>
      <c r="F21" s="23">
        <f>(Założenia!E251*Założenia!E$263*Założenia!$G57/100)*Założenia!$E$175</f>
        <v>0</v>
      </c>
      <c r="G21" s="23">
        <f>(Założenia!F251*Założenia!F$263*Założenia!$G57/100)*Założenia!$E$175</f>
        <v>0</v>
      </c>
      <c r="H21" s="23">
        <f>(Założenia!G251*Założenia!G$263*Założenia!$G57/100)*Założenia!$E$175</f>
        <v>0</v>
      </c>
      <c r="I21" s="23">
        <f>(Założenia!H251*Założenia!H$263*Założenia!$G57/100)*Założenia!$E$175</f>
        <v>0</v>
      </c>
      <c r="J21" s="23">
        <f>(Założenia!I251*Założenia!I$263*Założenia!$G57/100)*Założenia!$E$175</f>
        <v>0</v>
      </c>
      <c r="K21" s="23">
        <f>(Założenia!J251*Założenia!J$263*Założenia!$G57/100)*Założenia!$E$175</f>
        <v>0</v>
      </c>
      <c r="L21" s="23">
        <f>(Założenia!K251*Założenia!K$263*Założenia!$G57/100)*Założenia!$E$175</f>
        <v>0</v>
      </c>
      <c r="M21" s="23">
        <f>(Założenia!L251*Założenia!L$263*Założenia!$G57/100)*Założenia!$E$175</f>
        <v>0</v>
      </c>
      <c r="N21" s="23">
        <f>(Założenia!M251*Założenia!M$263*Założenia!$G57/100)*Założenia!$E$175</f>
        <v>0</v>
      </c>
      <c r="O21" s="23">
        <f>(Założenia!N251*Założenia!N$263*Założenia!$G57/100)*Założenia!$E$175</f>
        <v>0</v>
      </c>
      <c r="P21" s="23">
        <f>(Założenia!O251*Założenia!O$263*Założenia!$G57/100)*Założenia!$E$175</f>
        <v>0</v>
      </c>
      <c r="Q21" s="23">
        <f>(Założenia!P251*Założenia!P$263*Założenia!$G57/100)*Założenia!$E$175</f>
        <v>0</v>
      </c>
      <c r="R21" s="23">
        <f>(Założenia!Q251*Założenia!Q$263*Założenia!$G57/100)*Założenia!$E$175</f>
        <v>0</v>
      </c>
      <c r="S21" s="23">
        <f>(Założenia!R251*Założenia!R$263*Założenia!$G57/100)*Założenia!$E$175</f>
        <v>0</v>
      </c>
      <c r="T21" s="23">
        <f>(Założenia!S251*Założenia!S$263*Założenia!$G57/100)*Założenia!$E$175</f>
        <v>0</v>
      </c>
    </row>
    <row r="22" spans="1:20" s="1" customFormat="1" ht="12">
      <c r="A22" s="96"/>
      <c r="B22" s="109" t="s">
        <v>430</v>
      </c>
      <c r="C22" s="214" t="s">
        <v>0</v>
      </c>
      <c r="D22" s="300"/>
      <c r="E22" s="23">
        <f>(Założenia!D252*Założenia!D$263*Założenia!$G58/100)*Założenia!$E$175+(Założenia!D244*Założenia!D262*Założenia!$E$58/100)*Założenia!$E$175</f>
        <v>1648868</v>
      </c>
      <c r="F22" s="23">
        <f>(Założenia!E252*Założenia!E$263*Założenia!$G58/100)*Założenia!$E$175+(Założenia!E244*Założenia!E262*Założenia!$E$58/100)*Założenia!$E$175</f>
        <v>1650547.1477128549</v>
      </c>
      <c r="G22" s="23">
        <f>(Założenia!F252*Założenia!F$263*Założenia!$G58/100)*Założenia!$E$175+(Założenia!F244*Założenia!F262*Założenia!$E$58/100)*Założenia!$E$175</f>
        <v>1650547.1477128549</v>
      </c>
      <c r="H22" s="23">
        <f>(Założenia!G252*Założenia!G$263*Założenia!$G58/100)*Założenia!$E$175+(Założenia!G244*Założenia!G262*Założenia!$E$58/100)*Założenia!$E$175</f>
        <v>1650547.1477128549</v>
      </c>
      <c r="I22" s="23">
        <f>(Założenia!H252*Założenia!H$263*Założenia!$G58/100)*Założenia!$E$175+(Założenia!H244*Założenia!H262*Założenia!$E$58/100)*Założenia!$E$175</f>
        <v>1650547.1477128549</v>
      </c>
      <c r="J22" s="23">
        <f>(Założenia!I252*Założenia!I$263*Założenia!$G58/100)*Założenia!$E$175+(Założenia!I244*Założenia!I262*Założenia!$E$58/100)*Założenia!$E$175</f>
        <v>1650547.1477128549</v>
      </c>
      <c r="K22" s="23">
        <f>(Założenia!J252*Założenia!J$263*Założenia!$G58/100)*Założenia!$E$175+(Założenia!J244*Założenia!J262*Założenia!$E$58/100)*Założenia!$E$175</f>
        <v>1650547.1477128549</v>
      </c>
      <c r="L22" s="23">
        <f>(Założenia!K252*Założenia!K$263*Założenia!$G58/100)*Założenia!$E$175+(Założenia!K244*Założenia!K262*Założenia!$E$58/100)*Założenia!$E$175</f>
        <v>1645269.01</v>
      </c>
      <c r="M22" s="23">
        <f>(Założenia!L252*Założenia!L$263*Założenia!$G58/100)*Założenia!$E$175+(Założenia!L244*Założenia!L262*Założenia!$E$58/100)*Założenia!$E$175</f>
        <v>1645269.01</v>
      </c>
      <c r="N22" s="23">
        <f>(Założenia!M252*Założenia!M$263*Założenia!$G58/100)*Założenia!$E$175+(Założenia!M244*Założenia!M262*Założenia!$E$58/100)*Założenia!$E$175</f>
        <v>1645269.01</v>
      </c>
      <c r="O22" s="23">
        <f>(Założenia!N252*Założenia!N$263*Założenia!$G58/100)*Założenia!$E$175+(Założenia!N244*Założenia!N262*Założenia!$E$58/100)*Założenia!$E$175</f>
        <v>1645269.01</v>
      </c>
      <c r="P22" s="23">
        <f>(Założenia!O252*Założenia!O$263*Założenia!$G58/100)*Założenia!$E$175+(Założenia!O244*Założenia!O262*Założenia!$E$58/100)*Założenia!$E$175</f>
        <v>1645269.01</v>
      </c>
      <c r="Q22" s="23">
        <f>(Założenia!P252*Założenia!P$263*Założenia!$G58/100)*Założenia!$E$175+(Założenia!P244*Założenia!P262*Założenia!$E$58/100)*Założenia!$E$175</f>
        <v>1645269.01</v>
      </c>
      <c r="R22" s="23">
        <f>(Założenia!Q252*Założenia!Q$263*Założenia!$G58/100)*Założenia!$E$175+(Założenia!Q244*Założenia!Q262*Założenia!$E$58/100)*Założenia!$E$175</f>
        <v>1645269.01</v>
      </c>
      <c r="S22" s="23">
        <f>(Założenia!R252*Założenia!R$263*Założenia!$G58/100)*Założenia!$E$175+(Założenia!R244*Założenia!R262*Założenia!$E$58/100)*Założenia!$E$175</f>
        <v>1645269.01</v>
      </c>
      <c r="T22" s="23">
        <f>(Założenia!S252*Założenia!S$263*Założenia!$G58/100)*Założenia!$E$175+(Założenia!S244*Założenia!S262*Założenia!$E$58/100)*Założenia!$E$175</f>
        <v>1645269.01</v>
      </c>
    </row>
    <row r="23" spans="1:20" s="1" customFormat="1" ht="12">
      <c r="A23" s="96"/>
      <c r="B23" s="109" t="s">
        <v>431</v>
      </c>
      <c r="C23" s="214" t="s">
        <v>0</v>
      </c>
      <c r="D23" s="300"/>
      <c r="E23" s="23">
        <f>(Założenia!D253*Założenia!D$264*Założenia!$G59/100)*Założenia!$E$175</f>
        <v>0</v>
      </c>
      <c r="F23" s="23">
        <f>(Założenia!E253*Założenia!E$264*Założenia!$G59/100)*Założenia!$E$175</f>
        <v>0</v>
      </c>
      <c r="G23" s="23">
        <f>(Założenia!F253*Założenia!F$264*Założenia!$G59/100)*Założenia!$E$175</f>
        <v>0</v>
      </c>
      <c r="H23" s="23">
        <f>(Założenia!G253*Założenia!G$264*Założenia!$G59/100)*Założenia!$E$175</f>
        <v>0</v>
      </c>
      <c r="I23" s="23">
        <f>(Założenia!H253*Założenia!H$264*Założenia!$G59/100)*Założenia!$E$175</f>
        <v>0</v>
      </c>
      <c r="J23" s="23">
        <f>(Założenia!I253*Założenia!I$264*Założenia!$G59/100)*Założenia!$E$175</f>
        <v>0</v>
      </c>
      <c r="K23" s="23">
        <f>(Założenia!J253*Założenia!J$264*Założenia!$G59/100)*Założenia!$E$175</f>
        <v>0</v>
      </c>
      <c r="L23" s="23">
        <f>(Założenia!K253*Założenia!K$264*Założenia!$G59/100)*Założenia!$E$175</f>
        <v>0</v>
      </c>
      <c r="M23" s="23">
        <f>(Założenia!L253*Założenia!L$264*Założenia!$G59/100)*Założenia!$E$175</f>
        <v>0</v>
      </c>
      <c r="N23" s="23">
        <f>(Założenia!M253*Założenia!M$264*Założenia!$G59/100)*Założenia!$E$175</f>
        <v>0</v>
      </c>
      <c r="O23" s="23">
        <f>(Założenia!N253*Założenia!N$264*Założenia!$G59/100)*Założenia!$E$175</f>
        <v>0</v>
      </c>
      <c r="P23" s="23">
        <f>(Założenia!O253*Założenia!O$264*Założenia!$G59/100)*Założenia!$E$175</f>
        <v>0</v>
      </c>
      <c r="Q23" s="23">
        <f>(Założenia!P253*Założenia!P$264*Założenia!$G59/100)*Założenia!$E$175</f>
        <v>0</v>
      </c>
      <c r="R23" s="23">
        <f>(Założenia!Q253*Założenia!Q$264*Założenia!$G59/100)*Założenia!$E$175</f>
        <v>0</v>
      </c>
      <c r="S23" s="23">
        <f>(Założenia!R253*Założenia!R$264*Założenia!$G59/100)*Założenia!$E$175</f>
        <v>0</v>
      </c>
      <c r="T23" s="23">
        <f>(Założenia!S253*Założenia!S$264*Założenia!$G59/100)*Założenia!$E$175</f>
        <v>0</v>
      </c>
    </row>
    <row r="24" spans="1:20" s="1" customFormat="1" ht="12">
      <c r="A24" s="96" t="s">
        <v>160</v>
      </c>
      <c r="B24" s="109" t="s">
        <v>275</v>
      </c>
      <c r="C24" s="214" t="s">
        <v>0</v>
      </c>
      <c r="D24" s="300"/>
      <c r="E24" s="23">
        <f>(E25++E32)*(1+(Założenia!D266-Założenia!$D$266)*Założenia!$E$182)</f>
        <v>423621.26932714082</v>
      </c>
      <c r="F24" s="23">
        <f>(F25++F32)*(1+(Założenia!E266-Założenia!$D$266)*Założenia!$E$182)</f>
        <v>445255.30344959814</v>
      </c>
      <c r="G24" s="23">
        <f>(G25++G32)*(1+(Założenia!F266-Założenia!$D$266)*Założenia!$E$182)</f>
        <v>466457.93694719806</v>
      </c>
      <c r="H24" s="23">
        <f>(H25++H32)*(1+(Założenia!G266-Założenia!$D$266)*Założenia!$E$182)</f>
        <v>487660.57044479792</v>
      </c>
      <c r="I24" s="23">
        <f>(I25++I32)*(1+(Założenia!H266-Założenia!$D$266)*Założenia!$E$182)</f>
        <v>508863.20394239784</v>
      </c>
      <c r="J24" s="23">
        <f>(J25++J32)*(1+(Założenia!I266-Założenia!$D$266)*Założenia!$E$182)</f>
        <v>530065.83743999782</v>
      </c>
      <c r="K24" s="23">
        <f>(K25++K32)*(1+(Założenia!J266-Założenia!$D$266)*Założenia!$E$182)</f>
        <v>633958.74157823727</v>
      </c>
      <c r="L24" s="23">
        <f>(L25++L32)*(1+(Założenia!K266-Założenia!$D$266)*Założenia!$E$182)</f>
        <v>680962.84486745577</v>
      </c>
      <c r="M24" s="23">
        <f>(M25++M32)*(1+(Założenia!L266-Założenia!$D$266)*Założenia!$E$182)</f>
        <v>705346.66726008954</v>
      </c>
      <c r="N24" s="23">
        <f>(N25++N32)*(1+(Założenia!M266-Założenia!$D$266)*Założenia!$E$182)</f>
        <v>729730.48965272331</v>
      </c>
      <c r="O24" s="23">
        <f>(O25++O32)*(1+(Założenia!N266-Założenia!$D$266)*Założenia!$E$182)</f>
        <v>754114.31204535719</v>
      </c>
      <c r="P24" s="23">
        <f>(P25++P32)*(1+(Założenia!O266-Założenia!$D$266)*Założenia!$E$182)</f>
        <v>778498.13443799096</v>
      </c>
      <c r="Q24" s="23">
        <f>(Q25++Q32)*(1+(Założenia!P266-Założenia!$D$266)*Założenia!$E$182)</f>
        <v>802881.95683062472</v>
      </c>
      <c r="R24" s="23">
        <f>(R25++R32)*(1+(Założenia!Q266-Założenia!$D$266)*Założenia!$E$182)</f>
        <v>680962.84486745577</v>
      </c>
      <c r="S24" s="23">
        <f>(S25++S32)*(1+(Założenia!R266-Założenia!$D$266)*Założenia!$E$182)</f>
        <v>705346.66726008954</v>
      </c>
      <c r="T24" s="23">
        <f>(T25++T32)*(1+(Założenia!S266-Założenia!$D$266)*Założenia!$E$182)</f>
        <v>729730.48965272331</v>
      </c>
    </row>
    <row r="25" spans="1:20" s="1" customFormat="1" ht="12">
      <c r="A25" s="96"/>
      <c r="B25" s="109" t="s">
        <v>343</v>
      </c>
      <c r="C25" s="214" t="s">
        <v>0</v>
      </c>
      <c r="D25" s="300"/>
      <c r="E25" s="23">
        <f>SUM(E26:E31)</f>
        <v>423621.26932714082</v>
      </c>
      <c r="F25" s="23">
        <f t="shared" ref="F25:T25" si="7">SUM(F26:F31)</f>
        <v>424052.66995199822</v>
      </c>
      <c r="G25" s="23">
        <f t="shared" si="7"/>
        <v>424052.66995199822</v>
      </c>
      <c r="H25" s="23">
        <f t="shared" si="7"/>
        <v>424052.66995199822</v>
      </c>
      <c r="I25" s="23">
        <f t="shared" si="7"/>
        <v>424052.66995199822</v>
      </c>
      <c r="J25" s="23">
        <f t="shared" si="7"/>
        <v>424052.66995199822</v>
      </c>
      <c r="K25" s="541">
        <f t="shared" si="7"/>
        <v>487660.57044479792</v>
      </c>
      <c r="L25" s="541">
        <f t="shared" si="7"/>
        <v>487676.44785267574</v>
      </c>
      <c r="M25" s="541">
        <f t="shared" si="7"/>
        <v>487676.44785267574</v>
      </c>
      <c r="N25" s="541">
        <f t="shared" si="7"/>
        <v>487676.44785267574</v>
      </c>
      <c r="O25" s="541">
        <f t="shared" si="7"/>
        <v>487676.44785267574</v>
      </c>
      <c r="P25" s="541">
        <f t="shared" si="7"/>
        <v>487676.44785267574</v>
      </c>
      <c r="Q25" s="541">
        <f t="shared" si="7"/>
        <v>487676.44785267574</v>
      </c>
      <c r="R25" s="541">
        <f t="shared" si="7"/>
        <v>487676.44785267574</v>
      </c>
      <c r="S25" s="541">
        <f t="shared" si="7"/>
        <v>487676.44785267574</v>
      </c>
      <c r="T25" s="541">
        <f t="shared" si="7"/>
        <v>487676.44785267574</v>
      </c>
    </row>
    <row r="26" spans="1:20" s="1" customFormat="1" ht="12">
      <c r="A26" s="96"/>
      <c r="B26" s="109" t="s">
        <v>426</v>
      </c>
      <c r="C26" s="214" t="s">
        <v>0</v>
      </c>
      <c r="D26" s="300"/>
      <c r="E26" s="23">
        <f>(Założenia!D247*Założenia!D$263)*Założenia!$E$177</f>
        <v>0</v>
      </c>
      <c r="F26" s="23">
        <f>(Założenia!E247*Założenia!E$263)*Założenia!$E$177</f>
        <v>0</v>
      </c>
      <c r="G26" s="23">
        <f>(Założenia!F247*Założenia!F$263)*Założenia!$E$177</f>
        <v>0</v>
      </c>
      <c r="H26" s="23">
        <f>(Założenia!G247*Założenia!G$263)*Założenia!$E$177</f>
        <v>0</v>
      </c>
      <c r="I26" s="23">
        <f>(Założenia!H247*Założenia!H$263)*Założenia!$E$177</f>
        <v>0</v>
      </c>
      <c r="J26" s="23">
        <f>(Założenia!I247*Założenia!I$263)*Założenia!$E$177</f>
        <v>0</v>
      </c>
      <c r="K26" s="23">
        <f>(Założenia!J247*Założenia!J$263)*Założenia!$E$177</f>
        <v>0</v>
      </c>
      <c r="L26" s="23">
        <f>(Założenia!K247*Założenia!K$263)*Założenia!$E$177</f>
        <v>0</v>
      </c>
      <c r="M26" s="23">
        <f>(Założenia!L247*Założenia!L$263)*Założenia!$E$177</f>
        <v>0</v>
      </c>
      <c r="N26" s="23">
        <f>(Założenia!M247*Założenia!M$263)*Założenia!$E$177</f>
        <v>0</v>
      </c>
      <c r="O26" s="23">
        <f>(Założenia!N247*Założenia!N$263)*Założenia!$E$177</f>
        <v>0</v>
      </c>
      <c r="P26" s="23">
        <f>(Założenia!O247*Założenia!O$263)*Założenia!$E$177</f>
        <v>0</v>
      </c>
      <c r="Q26" s="23">
        <f>(Założenia!P247*Założenia!P$263)*Założenia!$E$177</f>
        <v>0</v>
      </c>
      <c r="R26" s="23">
        <f>(Założenia!Q247*Założenia!Q$263)*Założenia!$E$177</f>
        <v>0</v>
      </c>
      <c r="S26" s="23">
        <f>(Założenia!R247*Założenia!R$263)*Założenia!$E$177</f>
        <v>0</v>
      </c>
      <c r="T26" s="23">
        <f>(Założenia!S247*Założenia!S$263)*Założenia!$E$177</f>
        <v>0</v>
      </c>
    </row>
    <row r="27" spans="1:20" s="1" customFormat="1" ht="12">
      <c r="A27" s="96"/>
      <c r="B27" s="109" t="s">
        <v>432</v>
      </c>
      <c r="C27" s="214" t="s">
        <v>0</v>
      </c>
      <c r="D27" s="300"/>
      <c r="E27" s="23">
        <f>(Założenia!D248*Założenia!D$263)*Założenia!$E$177</f>
        <v>0</v>
      </c>
      <c r="F27" s="23">
        <f>(Założenia!E248*Założenia!E$263)*Założenia!$E$177</f>
        <v>0</v>
      </c>
      <c r="G27" s="23">
        <f>(Założenia!F248*Założenia!F$263)*Założenia!$E$177</f>
        <v>0</v>
      </c>
      <c r="H27" s="23">
        <f>(Założenia!G248*Założenia!G$263)*Założenia!$E$177</f>
        <v>0</v>
      </c>
      <c r="I27" s="23">
        <f>(Założenia!H248*Założenia!H$263)*Założenia!$E$177</f>
        <v>0</v>
      </c>
      <c r="J27" s="23">
        <f>(Założenia!I248*Założenia!I$263)*Założenia!$E$177</f>
        <v>0</v>
      </c>
      <c r="K27" s="23">
        <f>(Założenia!J248*Założenia!J$263)*Założenia!$E$177</f>
        <v>0</v>
      </c>
      <c r="L27" s="23">
        <f>(Założenia!K248*Założenia!K$263)*Założenia!$E$177</f>
        <v>0</v>
      </c>
      <c r="M27" s="23">
        <f>(Założenia!L248*Założenia!L$263)*Założenia!$E$177</f>
        <v>0</v>
      </c>
      <c r="N27" s="23">
        <f>(Założenia!M248*Założenia!M$263)*Założenia!$E$177</f>
        <v>0</v>
      </c>
      <c r="O27" s="23">
        <f>(Założenia!N248*Założenia!N$263)*Założenia!$E$177</f>
        <v>0</v>
      </c>
      <c r="P27" s="23">
        <f>(Założenia!O248*Założenia!O$263)*Założenia!$E$177</f>
        <v>0</v>
      </c>
      <c r="Q27" s="23">
        <f>(Założenia!P248*Założenia!P$263)*Założenia!$E$177</f>
        <v>0</v>
      </c>
      <c r="R27" s="23">
        <f>(Założenia!Q248*Założenia!Q$263)*Założenia!$E$177</f>
        <v>0</v>
      </c>
      <c r="S27" s="23">
        <f>(Założenia!R248*Założenia!R$263)*Założenia!$E$177</f>
        <v>0</v>
      </c>
      <c r="T27" s="23">
        <f>(Założenia!S248*Założenia!S$263)*Założenia!$E$177</f>
        <v>0</v>
      </c>
    </row>
    <row r="28" spans="1:20" s="1" customFormat="1" ht="12">
      <c r="A28" s="96"/>
      <c r="B28" s="109" t="s">
        <v>427</v>
      </c>
      <c r="C28" s="214" t="s">
        <v>0</v>
      </c>
      <c r="D28" s="300"/>
      <c r="E28" s="23">
        <f>(Założenia!D249*Założenia!D$263)*Założenia!$E$177</f>
        <v>0</v>
      </c>
      <c r="F28" s="23">
        <f>(Założenia!E249*Założenia!E$263)*Założenia!$E$177</f>
        <v>0</v>
      </c>
      <c r="G28" s="23">
        <f>(Założenia!F249*Założenia!F$263)*Założenia!$E$177</f>
        <v>0</v>
      </c>
      <c r="H28" s="23">
        <f>(Założenia!G249*Założenia!G$263)*Założenia!$E$177</f>
        <v>0</v>
      </c>
      <c r="I28" s="23">
        <f>(Założenia!H249*Założenia!H$263)*Założenia!$E$177</f>
        <v>0</v>
      </c>
      <c r="J28" s="23">
        <f>(Założenia!I249*Założenia!I$263)*Założenia!$E$177</f>
        <v>0</v>
      </c>
      <c r="K28" s="23">
        <f>(Założenia!J249*Założenia!J$263)*Założenia!$E$177</f>
        <v>0</v>
      </c>
      <c r="L28" s="23">
        <f>(Założenia!K249*Założenia!K$263)*Założenia!$E$177</f>
        <v>0</v>
      </c>
      <c r="M28" s="23">
        <f>(Założenia!L249*Założenia!L$263)*Założenia!$E$177</f>
        <v>0</v>
      </c>
      <c r="N28" s="23">
        <f>(Założenia!M249*Założenia!M$263)*Założenia!$E$177</f>
        <v>0</v>
      </c>
      <c r="O28" s="23">
        <f>(Założenia!N249*Założenia!N$263)*Założenia!$E$177</f>
        <v>0</v>
      </c>
      <c r="P28" s="23">
        <f>(Założenia!O249*Założenia!O$263)*Założenia!$E$177</f>
        <v>0</v>
      </c>
      <c r="Q28" s="23">
        <f>(Założenia!P249*Założenia!P$263)*Założenia!$E$177</f>
        <v>0</v>
      </c>
      <c r="R28" s="23">
        <f>(Założenia!Q249*Założenia!Q$263)*Założenia!$E$177</f>
        <v>0</v>
      </c>
      <c r="S28" s="23">
        <f>(Założenia!R249*Założenia!R$263)*Założenia!$E$177</f>
        <v>0</v>
      </c>
      <c r="T28" s="23">
        <f>(Założenia!S249*Założenia!S$263)*Założenia!$E$177</f>
        <v>0</v>
      </c>
    </row>
    <row r="29" spans="1:20" s="1" customFormat="1" ht="12">
      <c r="A29" s="96"/>
      <c r="B29" s="109" t="s">
        <v>428</v>
      </c>
      <c r="C29" s="214" t="s">
        <v>0</v>
      </c>
      <c r="D29" s="300"/>
      <c r="E29" s="23">
        <f>(Założenia!D250*Założenia!D$263)*Założenia!$E$177</f>
        <v>0</v>
      </c>
      <c r="F29" s="23">
        <f>(Założenia!E250*Założenia!E$263)*Założenia!$E$177</f>
        <v>0</v>
      </c>
      <c r="G29" s="23">
        <f>(Założenia!F250*Założenia!F$263)*Założenia!$E$177</f>
        <v>0</v>
      </c>
      <c r="H29" s="23">
        <f>(Założenia!G250*Założenia!G$263)*Założenia!$E$177</f>
        <v>0</v>
      </c>
      <c r="I29" s="23">
        <f>(Założenia!H250*Założenia!H$263)*Założenia!$E$177</f>
        <v>0</v>
      </c>
      <c r="J29" s="23">
        <f>(Założenia!I250*Założenia!I$263)*Założenia!$E$177</f>
        <v>0</v>
      </c>
      <c r="K29" s="23">
        <f>(Założenia!J250*Założenia!J$263)*Założenia!$E$177</f>
        <v>0</v>
      </c>
      <c r="L29" s="23">
        <f>(Założenia!K250*Założenia!K$263)*Założenia!$E$177</f>
        <v>0</v>
      </c>
      <c r="M29" s="23">
        <f>(Założenia!L250*Założenia!L$263)*Założenia!$E$177</f>
        <v>0</v>
      </c>
      <c r="N29" s="23">
        <f>(Założenia!M250*Założenia!M$263)*Założenia!$E$177</f>
        <v>0</v>
      </c>
      <c r="O29" s="23">
        <f>(Założenia!N250*Założenia!N$263)*Założenia!$E$177</f>
        <v>0</v>
      </c>
      <c r="P29" s="23">
        <f>(Założenia!O250*Założenia!O$263)*Założenia!$E$177</f>
        <v>0</v>
      </c>
      <c r="Q29" s="23">
        <f>(Założenia!P250*Założenia!P$263)*Założenia!$E$177</f>
        <v>0</v>
      </c>
      <c r="R29" s="23">
        <f>(Założenia!Q250*Założenia!Q$263)*Założenia!$E$177</f>
        <v>0</v>
      </c>
      <c r="S29" s="23">
        <f>(Założenia!R250*Założenia!R$263)*Założenia!$E$177</f>
        <v>0</v>
      </c>
      <c r="T29" s="23">
        <f>(Założenia!S250*Założenia!S$263)*Założenia!$E$177</f>
        <v>0</v>
      </c>
    </row>
    <row r="30" spans="1:20" s="1" customFormat="1" ht="12">
      <c r="A30" s="96"/>
      <c r="B30" s="109" t="s">
        <v>429</v>
      </c>
      <c r="C30" s="214" t="s">
        <v>0</v>
      </c>
      <c r="D30" s="300"/>
      <c r="E30" s="23">
        <f>(Założenia!D251*Założenia!D$263)*Założenia!$E$177</f>
        <v>0</v>
      </c>
      <c r="F30" s="23">
        <f>(Założenia!E251*Założenia!E$263)*Założenia!$E$177</f>
        <v>0</v>
      </c>
      <c r="G30" s="23">
        <f>(Założenia!F251*Założenia!F$263)*Założenia!$E$177</f>
        <v>0</v>
      </c>
      <c r="H30" s="23">
        <f>(Założenia!G251*Założenia!G$263)*Założenia!$E$177</f>
        <v>0</v>
      </c>
      <c r="I30" s="23">
        <f>(Założenia!H251*Założenia!H$263)*Założenia!$E$177</f>
        <v>0</v>
      </c>
      <c r="J30" s="23">
        <f>(Założenia!I251*Założenia!I$263)*Założenia!$E$177</f>
        <v>0</v>
      </c>
      <c r="K30" s="23">
        <f>(Założenia!J251*Założenia!J$263)*Założenia!$E$177</f>
        <v>0</v>
      </c>
      <c r="L30" s="23">
        <f>(Założenia!K251*Założenia!K$263)*Założenia!$E$177</f>
        <v>0</v>
      </c>
      <c r="M30" s="23">
        <f>(Założenia!L251*Założenia!L$263)*Założenia!$E$177</f>
        <v>0</v>
      </c>
      <c r="N30" s="23">
        <f>(Założenia!M251*Założenia!M$263)*Założenia!$E$177</f>
        <v>0</v>
      </c>
      <c r="O30" s="23">
        <f>(Założenia!N251*Założenia!N$263)*Założenia!$E$177</f>
        <v>0</v>
      </c>
      <c r="P30" s="23">
        <f>(Założenia!O251*Założenia!O$263)*Założenia!$E$177</f>
        <v>0</v>
      </c>
      <c r="Q30" s="23">
        <f>(Założenia!P251*Założenia!P$263)*Założenia!$E$177</f>
        <v>0</v>
      </c>
      <c r="R30" s="23">
        <f>(Założenia!Q251*Założenia!Q$263)*Założenia!$E$177</f>
        <v>0</v>
      </c>
      <c r="S30" s="23">
        <f>(Założenia!R251*Założenia!R$263)*Założenia!$E$177</f>
        <v>0</v>
      </c>
      <c r="T30" s="23">
        <f>(Założenia!S251*Założenia!S$263)*Założenia!$E$177</f>
        <v>0</v>
      </c>
    </row>
    <row r="31" spans="1:20" s="1" customFormat="1" ht="12">
      <c r="A31" s="96"/>
      <c r="B31" s="109" t="s">
        <v>433</v>
      </c>
      <c r="C31" s="214" t="s">
        <v>0</v>
      </c>
      <c r="D31" s="300"/>
      <c r="E31" s="23">
        <f>(Założenia!D252*Założenia!D263+Założenia!D253*Założenia!D264+Założenia!D244*Założenia!D262)*Założenia!$E$177</f>
        <v>423621.26932714082</v>
      </c>
      <c r="F31" s="23">
        <f>(Założenia!E252*Założenia!E263+Założenia!E253*Założenia!E264+Założenia!E244*Założenia!E262)*Założenia!$E$177</f>
        <v>424052.66995199822</v>
      </c>
      <c r="G31" s="23">
        <f>(Założenia!F252*Założenia!F263+Założenia!F253*Założenia!F264+Założenia!F244*Założenia!F262)*Założenia!$E$177</f>
        <v>424052.66995199822</v>
      </c>
      <c r="H31" s="23">
        <f>(Założenia!G252*Założenia!G263+Założenia!G253*Założenia!G264+Założenia!G244*Założenia!G262)*Założenia!$E$177</f>
        <v>424052.66995199822</v>
      </c>
      <c r="I31" s="23">
        <f>(Założenia!H252*Założenia!H263+Założenia!H253*Założenia!H264+Założenia!H244*Założenia!H262)*Założenia!$E$177</f>
        <v>424052.66995199822</v>
      </c>
      <c r="J31" s="23">
        <f>(Założenia!I252*Założenia!I263+Założenia!I253*Założenia!I264+Założenia!I244*Założenia!I262)*Założenia!$E$177</f>
        <v>424052.66995199822</v>
      </c>
      <c r="K31" s="23">
        <f>(Założenia!J252*Założenia!J263+Założenia!J253*Założenia!J264+Założenia!J244*Założenia!J262)*Założenia!$E$177*Założenia!$E$181</f>
        <v>487660.57044479792</v>
      </c>
      <c r="L31" s="23">
        <f>(Założenia!K252*Założenia!K263+Założenia!K253*Założenia!K264+Założenia!K244*Założenia!K262)*Założenia!$E$177*Założenia!$E$181</f>
        <v>487676.44785267574</v>
      </c>
      <c r="M31" s="23">
        <f>(Założenia!L252*Założenia!L263+Założenia!L253*Założenia!L264+Założenia!L244*Założenia!L262)*Założenia!$E$177*Założenia!$E$181</f>
        <v>487676.44785267574</v>
      </c>
      <c r="N31" s="23">
        <f>(Założenia!M252*Założenia!M263+Założenia!M253*Założenia!M264+Założenia!M244*Założenia!M262)*Założenia!$E$177*Założenia!$E$181</f>
        <v>487676.44785267574</v>
      </c>
      <c r="O31" s="23">
        <f>(Założenia!N252*Założenia!N263+Założenia!N253*Założenia!N264+Założenia!N244*Założenia!N262)*Założenia!$E$177*Założenia!$E$181</f>
        <v>487676.44785267574</v>
      </c>
      <c r="P31" s="23">
        <f>(Założenia!O252*Założenia!O263+Założenia!O253*Założenia!O264+Założenia!O244*Założenia!O262)*Założenia!$E$177*Założenia!$E$181</f>
        <v>487676.44785267574</v>
      </c>
      <c r="Q31" s="23">
        <f>(Założenia!P252*Założenia!P263+Założenia!P253*Założenia!P264+Założenia!P244*Założenia!P262)*Założenia!$E$177*Założenia!$E$181</f>
        <v>487676.44785267574</v>
      </c>
      <c r="R31" s="23">
        <f>(Założenia!Q252*Założenia!Q263+Założenia!Q253*Założenia!Q264+Założenia!Q244*Założenia!Q262)*Założenia!$E$177*Założenia!$E$181</f>
        <v>487676.44785267574</v>
      </c>
      <c r="S31" s="23">
        <f>(Założenia!R252*Założenia!R263+Założenia!R253*Założenia!R264+Założenia!R244*Założenia!R262)*Założenia!$E$177*Założenia!$E$181</f>
        <v>487676.44785267574</v>
      </c>
      <c r="T31" s="23">
        <f>(Założenia!S252*Założenia!S263+Założenia!S253*Założenia!S264+Założenia!S244*Założenia!S262)*Założenia!$E$177*Założenia!$E$181</f>
        <v>487676.44785267574</v>
      </c>
    </row>
    <row r="32" spans="1:20" s="1" customFormat="1" ht="12">
      <c r="A32" s="96"/>
      <c r="B32" s="109" t="s">
        <v>342</v>
      </c>
      <c r="C32" s="214" t="s">
        <v>0</v>
      </c>
      <c r="D32" s="300"/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</row>
    <row r="33" spans="1:21" s="13" customFormat="1" ht="12">
      <c r="A33" s="108" t="s">
        <v>50</v>
      </c>
      <c r="B33" s="118" t="s">
        <v>7</v>
      </c>
      <c r="C33" s="301" t="s">
        <v>0</v>
      </c>
      <c r="D33" s="302"/>
      <c r="E33" s="22">
        <f>((SUM(Założenia!D247:D251)*Założenia!D263)*Założenia!$E$178+(Założenia!D252*Założenia!D263+Założenia!D253*Założenia!D264+Założenia!D244*Założenia!D262)*Założenia!$E$178+(Założenia!D254*Założenia!D265)*Założenia!$E$178*Założenia!$E$180)*(1+(Założenia!D266-Założenia!$D$266)*Założenia!$E$182)+Opcje!E20*Założenia!$E$197+Opcje!E21*Założenia!$E$196</f>
        <v>681335.37557993992</v>
      </c>
      <c r="F33" s="22">
        <f>((SUM(Założenia!E247:E251)*Założenia!E263)*Założenia!$E$178+(Założenia!E252*Założenia!E263+Założenia!E253*Założenia!E264+Założenia!E244*Założenia!E262)*Założenia!$E$178+(Założenia!E254*Założenia!E265)*Założenia!$E$178*Założenia!$E$180)*(1+(Założenia!E266-Założenia!$D$266)*Założenia!$E$182)+Opcje!F20*Założenia!$E$197+Opcje!F21*Założenia!$E$196</f>
        <v>716130.68410527916</v>
      </c>
      <c r="G33" s="22">
        <f>((SUM(Założenia!F247:F251)*Założenia!F263)*Założenia!$E$178+(Założenia!F252*Założenia!F263+Założenia!F253*Założenia!F264+Założenia!F244*Założenia!F262)*Założenia!$E$178+(Założenia!F254*Założenia!F265)*Założenia!$E$178*Założenia!$E$180)*(1+(Założenia!F266-Założenia!$D$266)*Założenia!$E$182)+Opcje!G20*Założenia!$E$197+Opcje!G21*Założenia!$E$196</f>
        <v>750232.14525314956</v>
      </c>
      <c r="H33" s="22">
        <f>((SUM(Założenia!G247:G251)*Założenia!G263)*Założenia!$E$178+(Założenia!G252*Założenia!G263+Założenia!G253*Założenia!G264+Założenia!G244*Założenia!G262)*Założenia!$E$178+(Założenia!G254*Założenia!G265)*Założenia!$E$178*Założenia!$E$180)*(1+(Założenia!G266-Założenia!$D$266)*Założenia!$E$182)+Opcje!H20*Założenia!$E$197+Opcje!H21*Założenia!$E$196</f>
        <v>784333.60640101985</v>
      </c>
      <c r="I33" s="22">
        <f>((SUM(Założenia!H247:H251)*Założenia!H263)*Założenia!$E$178+(Założenia!H252*Założenia!H263+Założenia!H253*Założenia!H264+Założenia!H244*Założenia!H262)*Założenia!$E$178+(Założenia!H254*Założenia!H265)*Założenia!$E$178*Założenia!$E$180)*(1+(Założenia!H266-Założenia!$D$266)*Założenia!$E$182)+Opcje!I20*Założenia!$E$197+Opcje!I21*Założenia!$E$196</f>
        <v>818435.06754889037</v>
      </c>
      <c r="J33" s="22">
        <f>((SUM(Założenia!I247:I251)*Założenia!I263)*Założenia!$E$178+(Założenia!I252*Założenia!I263+Założenia!I253*Założenia!I264+Założenia!I244*Założenia!I262)*Założenia!$E$178+(Założenia!I254*Założenia!I265)*Założenia!$E$178*Założenia!$E$180)*(1+(Założenia!I266-Założenia!$D$266)*Założenia!$E$182)+Opcje!J20*Założenia!$E$197+Opcje!J21*Założenia!$E$196</f>
        <v>852536.52869676077</v>
      </c>
      <c r="K33" s="542">
        <f>((SUM(Założenia!J247:J251)*Założenia!J263)*Założenia!$E$178+(Założenia!J252*Założenia!J263+Założenia!J253*Założenia!J264+Założenia!J244*Założenia!J262)*Założenia!$E$178*Założenia!$E$181+(Założenia!J254*Założenia!J265)*Założenia!$E$178*Założenia!$E$180)*(1+(Założenia!J266-Założenia!$D$266)*Założenia!$E$182)+Opcje!K20*Założenia!$E$197+Opcje!K21*Założenia!$E$196</f>
        <v>1019633.6883213258</v>
      </c>
      <c r="L33" s="542">
        <f>((SUM(Założenia!K247:K251)*Założenia!K263)*Założenia!$E$178+(Założenia!K252*Założenia!K263+Założenia!K253*Założenia!K264+Założenia!K244*Założenia!K262)*Założenia!$E$178*Założenia!$E$181+(Założenia!K254*Założenia!K265)*Założenia!$E$178*Założenia!$E$180)*(1+(Założenia!K266-Założenia!$D$266)*Założenia!$E$182)+Opcje!L20*Założenia!$E$197+Opcje!L21*Założenia!$E$196</f>
        <v>1095233.1935568063</v>
      </c>
      <c r="M33" s="542">
        <f>((SUM(Założenia!L247:L251)*Założenia!L263)*Założenia!$E$178+(Założenia!L252*Założenia!L263+Założenia!L253*Założenia!L264+Założenia!L244*Założenia!L262)*Założenia!$E$178*Założenia!$E$181+(Założenia!L254*Założenia!L265)*Założenia!$E$178*Założenia!$E$180)*(1+(Założenia!L266-Założenia!$D$266)*Założenia!$E$182)+Opcje!M20*Założenia!$E$197+Opcje!M21*Założenia!$E$196</f>
        <v>1134451.150706002</v>
      </c>
      <c r="N33" s="542">
        <f>((SUM(Założenia!M247:M251)*Założenia!M263)*Założenia!$E$178+(Założenia!M252*Założenia!M263+Założenia!M253*Założenia!M264+Założenia!M244*Założenia!M262)*Założenia!$E$178*Założenia!$E$181+(Założenia!M254*Założenia!M265)*Założenia!$E$178*Założenia!$E$180)*(1+(Założenia!M266-Założenia!$D$266)*Założenia!$E$182)+Opcje!N20*Założenia!$E$197+Opcje!N21*Założenia!$E$196</f>
        <v>1173669.1078551975</v>
      </c>
      <c r="O33" s="542">
        <f>((SUM(Założenia!N247:N251)*Założenia!N263)*Założenia!$E$178+(Założenia!N252*Założenia!N263+Założenia!N253*Założenia!N264+Założenia!N244*Założenia!N262)*Założenia!$E$178*Założenia!$E$181+(Założenia!N254*Założenia!N265)*Założenia!$E$178*Założenia!$E$180)*(1+(Założenia!N266-Założenia!$D$266)*Założenia!$E$182)+Opcje!O20*Założenia!$E$197+Opcje!O21*Założenia!$E$196</f>
        <v>1212887.0650043932</v>
      </c>
      <c r="P33" s="542">
        <f>((SUM(Założenia!O247:O251)*Założenia!O263)*Założenia!$E$178+(Założenia!O252*Założenia!O263+Założenia!O253*Założenia!O264+Założenia!O244*Założenia!O262)*Założenia!$E$178*Założenia!$E$181+(Założenia!O254*Założenia!O265)*Założenia!$E$178*Założenia!$E$180)*(1+(Założenia!O266-Założenia!$D$266)*Założenia!$E$182)+Opcje!P20*Założenia!$E$197+Opcje!P21*Założenia!$E$196</f>
        <v>1252105.0221535889</v>
      </c>
      <c r="Q33" s="542">
        <f>((SUM(Założenia!P247:P251)*Założenia!P263)*Założenia!$E$178+(Założenia!P252*Założenia!P263+Założenia!P253*Założenia!P264+Założenia!P244*Założenia!P262)*Założenia!$E$178*Założenia!$E$181+(Założenia!P254*Założenia!P265)*Założenia!$E$178*Założenia!$E$180)*(1+(Założenia!P266-Założenia!$D$266)*Założenia!$E$182)+Opcje!Q20*Założenia!$E$197+Opcje!Q21*Założenia!$E$196</f>
        <v>1291322.9793027847</v>
      </c>
      <c r="R33" s="542">
        <f>((SUM(Założenia!Q247:Q251)*Założenia!Q263)*Założenia!$E$178+(Założenia!Q252*Założenia!Q263+Założenia!Q253*Założenia!Q264+Założenia!Q244*Założenia!Q262)*Założenia!$E$178*Założenia!$E$181+(Założenia!Q254*Założenia!Q265)*Założenia!$E$178*Założenia!$E$180)*(1+(Założenia!Q266-Założenia!$D$266)*Założenia!$E$182)+Opcje!R20*Założenia!$E$197+Opcje!R21*Założenia!$E$196</f>
        <v>1095233.1935568063</v>
      </c>
      <c r="S33" s="542">
        <f>((SUM(Założenia!R247:R251)*Założenia!R263)*Założenia!$E$178+(Założenia!R252*Założenia!R263+Założenia!R253*Założenia!R264+Założenia!R244*Założenia!R262)*Założenia!$E$178*Założenia!$E$181+(Założenia!R254*Założenia!R265)*Założenia!$E$178*Założenia!$E$180)*(1+(Założenia!R266-Założenia!$D$266)*Założenia!$E$182)+Opcje!S20*Założenia!$E$197+Opcje!S21*Założenia!$E$196</f>
        <v>1134451.150706002</v>
      </c>
      <c r="T33" s="542">
        <f>((SUM(Założenia!S247:S251)*Założenia!S263)*Założenia!$E$178+(Założenia!S252*Założenia!S263+Założenia!S253*Założenia!S264+Założenia!S244*Założenia!S262)*Założenia!$E$178*Założenia!$E$181+(Założenia!S254*Założenia!S265)*Założenia!$E$178*Założenia!$E$180)*(1+(Założenia!S266-Założenia!$D$266)*Założenia!$E$182)+Opcje!T20*Założenia!$E$197+Opcje!T21*Założenia!$E$196</f>
        <v>1173669.1078551975</v>
      </c>
    </row>
    <row r="34" spans="1:21" s="13" customFormat="1" ht="12">
      <c r="A34" s="108" t="s">
        <v>61</v>
      </c>
      <c r="B34" s="118" t="s">
        <v>8</v>
      </c>
      <c r="C34" s="301" t="s">
        <v>0</v>
      </c>
      <c r="D34" s="302"/>
      <c r="E34" s="22">
        <f>Założenia!$E$218</f>
        <v>337789.35039205936</v>
      </c>
      <c r="F34" s="22">
        <f>Założenia!$E$218</f>
        <v>337789.35039205936</v>
      </c>
      <c r="G34" s="22">
        <f>Założenia!$E$218</f>
        <v>337789.35039205936</v>
      </c>
      <c r="H34" s="22">
        <f>Założenia!$E$218</f>
        <v>337789.35039205936</v>
      </c>
      <c r="I34" s="22">
        <f>Założenia!$E$218</f>
        <v>337789.35039205936</v>
      </c>
      <c r="J34" s="22">
        <f>Założenia!$E$218</f>
        <v>337789.35039205936</v>
      </c>
      <c r="K34" s="22">
        <f>Założenia!$E$218</f>
        <v>337789.35039205936</v>
      </c>
      <c r="L34" s="22">
        <f>Założenia!$E$218</f>
        <v>337789.35039205936</v>
      </c>
      <c r="M34" s="22">
        <f>Założenia!$E$218</f>
        <v>337789.35039205936</v>
      </c>
      <c r="N34" s="22">
        <f>Założenia!$E$218</f>
        <v>337789.35039205936</v>
      </c>
      <c r="O34" s="22">
        <f>Założenia!$E$218</f>
        <v>337789.35039205936</v>
      </c>
      <c r="P34" s="22">
        <f>Założenia!$E$218</f>
        <v>337789.35039205936</v>
      </c>
      <c r="Q34" s="22">
        <f>Założenia!$E$218</f>
        <v>337789.35039205936</v>
      </c>
      <c r="R34" s="22">
        <f>Założenia!$E$218</f>
        <v>337789.35039205936</v>
      </c>
      <c r="S34" s="22">
        <f>Założenia!$E$218</f>
        <v>337789.35039205936</v>
      </c>
      <c r="T34" s="22">
        <f>Założenia!$E$218</f>
        <v>337789.35039205936</v>
      </c>
    </row>
    <row r="35" spans="1:21" s="13" customFormat="1" ht="12">
      <c r="A35" s="108" t="s">
        <v>69</v>
      </c>
      <c r="B35" s="166" t="s">
        <v>10</v>
      </c>
      <c r="C35" s="301" t="s">
        <v>0</v>
      </c>
      <c r="D35" s="302"/>
      <c r="E35" s="22">
        <f>Założenia!$E$209</f>
        <v>5097501.7389051178</v>
      </c>
      <c r="F35" s="22">
        <f>Założenia!$E$209</f>
        <v>5097501.7389051178</v>
      </c>
      <c r="G35" s="22">
        <f>Założenia!$E$209</f>
        <v>5097501.7389051178</v>
      </c>
      <c r="H35" s="22">
        <f>Założenia!$E$209</f>
        <v>5097501.7389051178</v>
      </c>
      <c r="I35" s="22">
        <f>Założenia!$E$209</f>
        <v>5097501.7389051178</v>
      </c>
      <c r="J35" s="22">
        <f>Założenia!$E$209</f>
        <v>5097501.7389051178</v>
      </c>
      <c r="K35" s="22">
        <f>Założenia!$E$209</f>
        <v>5097501.7389051178</v>
      </c>
      <c r="L35" s="22">
        <f>Założenia!$E$209</f>
        <v>5097501.7389051178</v>
      </c>
      <c r="M35" s="22">
        <f>Założenia!$E$209</f>
        <v>5097501.7389051178</v>
      </c>
      <c r="N35" s="22">
        <f>Założenia!$E$209</f>
        <v>5097501.7389051178</v>
      </c>
      <c r="O35" s="22">
        <f>Założenia!$E$209</f>
        <v>5097501.7389051178</v>
      </c>
      <c r="P35" s="22">
        <f>Założenia!$E$209</f>
        <v>5097501.7389051178</v>
      </c>
      <c r="Q35" s="22">
        <f>Założenia!$E$209</f>
        <v>5097501.7389051178</v>
      </c>
      <c r="R35" s="22">
        <f>Założenia!$E$209</f>
        <v>5097501.7389051178</v>
      </c>
      <c r="S35" s="22">
        <f>Założenia!$E$209</f>
        <v>5097501.7389051178</v>
      </c>
      <c r="T35" s="22">
        <f>Założenia!$E$209</f>
        <v>5097501.7389051178</v>
      </c>
    </row>
    <row r="36" spans="1:21" s="13" customFormat="1" ht="12">
      <c r="A36" s="108" t="s">
        <v>70</v>
      </c>
      <c r="B36" s="110" t="s">
        <v>199</v>
      </c>
      <c r="C36" s="301" t="s">
        <v>0</v>
      </c>
      <c r="D36" s="302"/>
      <c r="E36" s="22">
        <f>Założenia!$E$210</f>
        <v>1372905.9020110394</v>
      </c>
      <c r="F36" s="22">
        <f>Założenia!$E$210</f>
        <v>1372905.9020110394</v>
      </c>
      <c r="G36" s="22">
        <f>Założenia!$E$210</f>
        <v>1372905.9020110394</v>
      </c>
      <c r="H36" s="22">
        <f>Założenia!$E$210</f>
        <v>1372905.9020110394</v>
      </c>
      <c r="I36" s="22">
        <f>Założenia!$E$210</f>
        <v>1372905.9020110394</v>
      </c>
      <c r="J36" s="22">
        <f>Założenia!$E$210</f>
        <v>1372905.9020110394</v>
      </c>
      <c r="K36" s="22">
        <f>Założenia!$E$210</f>
        <v>1372905.9020110394</v>
      </c>
      <c r="L36" s="22">
        <f>Założenia!$E$210</f>
        <v>1372905.9020110394</v>
      </c>
      <c r="M36" s="22">
        <f>Założenia!$E$210</f>
        <v>1372905.9020110394</v>
      </c>
      <c r="N36" s="22">
        <f>Założenia!$E$210</f>
        <v>1372905.9020110394</v>
      </c>
      <c r="O36" s="22">
        <f>Założenia!$E$210</f>
        <v>1372905.9020110394</v>
      </c>
      <c r="P36" s="22">
        <f>Założenia!$E$210</f>
        <v>1372905.9020110394</v>
      </c>
      <c r="Q36" s="22">
        <f>Założenia!$E$210</f>
        <v>1372905.9020110394</v>
      </c>
      <c r="R36" s="22">
        <f>Założenia!$E$210</f>
        <v>1372905.9020110394</v>
      </c>
      <c r="S36" s="22">
        <f>Założenia!$E$210</f>
        <v>1372905.9020110394</v>
      </c>
      <c r="T36" s="22">
        <f>Założenia!$E$210</f>
        <v>1372905.9020110394</v>
      </c>
    </row>
    <row r="37" spans="1:21" s="33" customFormat="1" ht="12">
      <c r="A37" s="108" t="s">
        <v>79</v>
      </c>
      <c r="B37" s="167" t="s">
        <v>9</v>
      </c>
      <c r="C37" s="301" t="s">
        <v>0</v>
      </c>
      <c r="D37" s="302"/>
      <c r="E37" s="22">
        <f>E38+E39</f>
        <v>1249696.4722158895</v>
      </c>
      <c r="F37" s="22">
        <f t="shared" ref="F37:T37" si="8">F38+F39</f>
        <v>1249696.4722158895</v>
      </c>
      <c r="G37" s="22">
        <f t="shared" si="8"/>
        <v>1249696.4722158895</v>
      </c>
      <c r="H37" s="22">
        <f t="shared" si="8"/>
        <v>1249696.4722158895</v>
      </c>
      <c r="I37" s="22">
        <f t="shared" si="8"/>
        <v>1249696.4722158895</v>
      </c>
      <c r="J37" s="22">
        <f t="shared" si="8"/>
        <v>1249696.4722158895</v>
      </c>
      <c r="K37" s="22">
        <f t="shared" si="8"/>
        <v>1249696.4722158895</v>
      </c>
      <c r="L37" s="22">
        <f t="shared" si="8"/>
        <v>1263194.813679304</v>
      </c>
      <c r="M37" s="22">
        <f t="shared" si="8"/>
        <v>1263194.813679304</v>
      </c>
      <c r="N37" s="22">
        <f t="shared" si="8"/>
        <v>1263194.813679304</v>
      </c>
      <c r="O37" s="22">
        <f t="shared" si="8"/>
        <v>1263194.813679304</v>
      </c>
      <c r="P37" s="22">
        <f t="shared" si="8"/>
        <v>1263194.813679304</v>
      </c>
      <c r="Q37" s="22">
        <f t="shared" si="8"/>
        <v>1263194.813679304</v>
      </c>
      <c r="R37" s="22">
        <f t="shared" si="8"/>
        <v>1263194.813679304</v>
      </c>
      <c r="S37" s="22">
        <f t="shared" si="8"/>
        <v>1263194.813679304</v>
      </c>
      <c r="T37" s="22">
        <f t="shared" si="8"/>
        <v>1263194.813679304</v>
      </c>
    </row>
    <row r="38" spans="1:21" s="6" customFormat="1" ht="12">
      <c r="A38" s="96" t="s">
        <v>154</v>
      </c>
      <c r="B38" s="113" t="s">
        <v>153</v>
      </c>
      <c r="C38" s="214" t="s">
        <v>0</v>
      </c>
      <c r="D38" s="300"/>
      <c r="E38" s="23">
        <f>Założenia!$F$229*Założenia!D243</f>
        <v>276716</v>
      </c>
      <c r="F38" s="23">
        <f>Założenia!$F$229*Założenia!E243</f>
        <v>276716</v>
      </c>
      <c r="G38" s="23">
        <f>Założenia!$F$229*Założenia!F243</f>
        <v>276716</v>
      </c>
      <c r="H38" s="23">
        <f>Założenia!$F$229*Założenia!G243</f>
        <v>276716</v>
      </c>
      <c r="I38" s="23">
        <f>Założenia!$F$229*Założenia!H243</f>
        <v>276716</v>
      </c>
      <c r="J38" s="23">
        <f>Założenia!$F$229*Założenia!I243</f>
        <v>276716</v>
      </c>
      <c r="K38" s="23">
        <f>Założenia!$F$229*Założenia!J243</f>
        <v>276716</v>
      </c>
      <c r="L38" s="23">
        <f>Założenia!$F$229*Założenia!K243</f>
        <v>290214.3414634146</v>
      </c>
      <c r="M38" s="23">
        <f>Założenia!$F$229*Założenia!L243</f>
        <v>290214.3414634146</v>
      </c>
      <c r="N38" s="23">
        <f>Założenia!$F$229*Założenia!M243</f>
        <v>290214.3414634146</v>
      </c>
      <c r="O38" s="23">
        <f>Założenia!$F$229*Założenia!N243</f>
        <v>290214.3414634146</v>
      </c>
      <c r="P38" s="23">
        <f>Założenia!$F$229*Założenia!O243</f>
        <v>290214.3414634146</v>
      </c>
      <c r="Q38" s="23">
        <f>Założenia!$F$229*Założenia!P243</f>
        <v>290214.3414634146</v>
      </c>
      <c r="R38" s="23">
        <f>Założenia!$F$229*Założenia!Q243</f>
        <v>290214.3414634146</v>
      </c>
      <c r="S38" s="23">
        <f>Założenia!$F$229*Założenia!R243</f>
        <v>290214.3414634146</v>
      </c>
      <c r="T38" s="23">
        <f>Założenia!$F$229*Założenia!S243</f>
        <v>290214.3414634146</v>
      </c>
    </row>
    <row r="39" spans="1:21" s="6" customFormat="1" ht="12">
      <c r="A39" s="96" t="s">
        <v>155</v>
      </c>
      <c r="B39" s="113" t="s">
        <v>81</v>
      </c>
      <c r="C39" s="214" t="s">
        <v>0</v>
      </c>
      <c r="D39" s="300"/>
      <c r="E39" s="23">
        <f>Założenia!$E$220</f>
        <v>972980.47221588937</v>
      </c>
      <c r="F39" s="23">
        <f>Założenia!$E$220</f>
        <v>972980.47221588937</v>
      </c>
      <c r="G39" s="23">
        <f>Założenia!$E$220</f>
        <v>972980.47221588937</v>
      </c>
      <c r="H39" s="23">
        <f>Założenia!$E$220</f>
        <v>972980.47221588937</v>
      </c>
      <c r="I39" s="23">
        <f>Założenia!$E$220</f>
        <v>972980.47221588937</v>
      </c>
      <c r="J39" s="23">
        <f>Założenia!$E$220</f>
        <v>972980.47221588937</v>
      </c>
      <c r="K39" s="23">
        <f>Założenia!$E$220</f>
        <v>972980.47221588937</v>
      </c>
      <c r="L39" s="23">
        <f>Założenia!$E$220</f>
        <v>972980.47221588937</v>
      </c>
      <c r="M39" s="23">
        <f>Założenia!$E$220</f>
        <v>972980.47221588937</v>
      </c>
      <c r="N39" s="23">
        <f>Założenia!$E$220</f>
        <v>972980.47221588937</v>
      </c>
      <c r="O39" s="23">
        <f>Założenia!$E$220</f>
        <v>972980.47221588937</v>
      </c>
      <c r="P39" s="23">
        <f>Założenia!$E$220</f>
        <v>972980.47221588937</v>
      </c>
      <c r="Q39" s="23">
        <f>Założenia!$E$220</f>
        <v>972980.47221588937</v>
      </c>
      <c r="R39" s="23">
        <f>Założenia!$E$220</f>
        <v>972980.47221588937</v>
      </c>
      <c r="S39" s="23">
        <f>Założenia!$E$220</f>
        <v>972980.47221588937</v>
      </c>
      <c r="T39" s="23">
        <f>Założenia!$E$220</f>
        <v>972980.47221588937</v>
      </c>
    </row>
    <row r="40" spans="1:21" s="26" customFormat="1">
      <c r="A40" s="108" t="s">
        <v>420</v>
      </c>
      <c r="B40" s="299" t="s">
        <v>455</v>
      </c>
      <c r="C40" s="214" t="s">
        <v>0</v>
      </c>
      <c r="D40" s="300"/>
      <c r="E40" s="125">
        <f>Założenia!$E222</f>
        <v>1348716.5378980758</v>
      </c>
      <c r="F40" s="125">
        <f>Założenia!$E222</f>
        <v>1348716.5378980758</v>
      </c>
      <c r="G40" s="125">
        <f>Założenia!$E222</f>
        <v>1348716.5378980758</v>
      </c>
      <c r="H40" s="125">
        <f>Założenia!$E222</f>
        <v>1348716.5378980758</v>
      </c>
      <c r="I40" s="125">
        <f>Założenia!$E222</f>
        <v>1348716.5378980758</v>
      </c>
      <c r="J40" s="125">
        <f>Założenia!$E222</f>
        <v>1348716.5378980758</v>
      </c>
      <c r="K40" s="125">
        <f>Założenia!$E222</f>
        <v>1348716.5378980758</v>
      </c>
      <c r="L40" s="125">
        <f>Założenia!$E222</f>
        <v>1348716.5378980758</v>
      </c>
      <c r="M40" s="125">
        <f>Założenia!$E222</f>
        <v>1348716.5378980758</v>
      </c>
      <c r="N40" s="125">
        <f>Założenia!$E222</f>
        <v>1348716.5378980758</v>
      </c>
      <c r="O40" s="125">
        <f>Założenia!$E222</f>
        <v>1348716.5378980758</v>
      </c>
      <c r="P40" s="125">
        <f>Założenia!$E222</f>
        <v>1348716.5378980758</v>
      </c>
      <c r="Q40" s="125">
        <f>Założenia!$E222</f>
        <v>1348716.5378980758</v>
      </c>
      <c r="R40" s="125">
        <f>Założenia!$E222</f>
        <v>1348716.5378980758</v>
      </c>
      <c r="S40" s="125">
        <f>Założenia!$E222</f>
        <v>1348716.5378980758</v>
      </c>
      <c r="T40" s="125">
        <f>Założenia!$E222</f>
        <v>1348716.5378980758</v>
      </c>
      <c r="U40" s="13"/>
    </row>
    <row r="41" spans="1:21" s="26" customFormat="1">
      <c r="A41" s="13"/>
      <c r="B41" s="303"/>
      <c r="C41" s="304"/>
      <c r="D41" s="304"/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5"/>
      <c r="T41" s="305"/>
      <c r="U41" s="13"/>
    </row>
    <row r="42" spans="1:21" s="1" customFormat="1" ht="12">
      <c r="A42" s="269" t="s">
        <v>26</v>
      </c>
      <c r="B42" s="95" t="s">
        <v>220</v>
      </c>
    </row>
    <row r="43" spans="1:21" s="26" customFormat="1">
      <c r="A43" s="108" t="s">
        <v>34</v>
      </c>
      <c r="B43" s="166" t="s">
        <v>158</v>
      </c>
      <c r="C43" s="214" t="s">
        <v>0</v>
      </c>
      <c r="D43" s="301"/>
      <c r="E43" s="107">
        <f t="shared" ref="E43:T43" si="9">E45*E50</f>
        <v>225256.51018104475</v>
      </c>
      <c r="F43" s="107">
        <f t="shared" si="9"/>
        <v>231928.35766790487</v>
      </c>
      <c r="G43" s="107">
        <f t="shared" si="9"/>
        <v>238370.81204756894</v>
      </c>
      <c r="H43" s="107">
        <f t="shared" si="9"/>
        <v>244813.26642723291</v>
      </c>
      <c r="I43" s="107">
        <f t="shared" si="9"/>
        <v>251255.72080689698</v>
      </c>
      <c r="J43" s="107">
        <f t="shared" si="9"/>
        <v>257698.17518656098</v>
      </c>
      <c r="K43" s="107">
        <f t="shared" si="9"/>
        <v>264140.62956622505</v>
      </c>
      <c r="L43" s="107">
        <f t="shared" si="9"/>
        <v>269717.81040201336</v>
      </c>
      <c r="M43" s="107">
        <f t="shared" si="9"/>
        <v>276139.66303063271</v>
      </c>
      <c r="N43" s="107">
        <f t="shared" si="9"/>
        <v>282561.51565925212</v>
      </c>
      <c r="O43" s="107">
        <f t="shared" si="9"/>
        <v>288983.36828787142</v>
      </c>
      <c r="P43" s="107">
        <f t="shared" si="9"/>
        <v>295405.22091649083</v>
      </c>
      <c r="Q43" s="107">
        <f t="shared" si="9"/>
        <v>301827.07354511018</v>
      </c>
      <c r="R43" s="107">
        <f t="shared" si="9"/>
        <v>308248.92617372953</v>
      </c>
      <c r="S43" s="107">
        <f t="shared" si="9"/>
        <v>314670.77880234894</v>
      </c>
      <c r="T43" s="107">
        <f t="shared" si="9"/>
        <v>321092.63143096829</v>
      </c>
      <c r="U43" s="13"/>
    </row>
    <row r="44" spans="1:21" s="26" customFormat="1" ht="13.5">
      <c r="A44" s="96"/>
      <c r="B44" s="112" t="s">
        <v>382</v>
      </c>
      <c r="C44" s="214" t="s">
        <v>171</v>
      </c>
      <c r="D44" s="214"/>
      <c r="E44" s="173">
        <f>Założenia!E114</f>
        <v>2.68</v>
      </c>
      <c r="F44" s="173">
        <f>Założenia!F114</f>
        <v>2.68</v>
      </c>
      <c r="G44" s="173">
        <f>Założenia!G114</f>
        <v>2.68</v>
      </c>
      <c r="H44" s="173">
        <f>Założenia!H114</f>
        <v>2.68</v>
      </c>
      <c r="I44" s="173">
        <f>Założenia!I114</f>
        <v>2.68</v>
      </c>
      <c r="J44" s="173">
        <f>Założenia!J114</f>
        <v>2.68</v>
      </c>
      <c r="K44" s="173">
        <f>Założenia!K114</f>
        <v>2.68</v>
      </c>
      <c r="L44" s="173">
        <f>Założenia!L114</f>
        <v>2.68</v>
      </c>
      <c r="M44" s="173">
        <f>Założenia!M114</f>
        <v>2.68</v>
      </c>
      <c r="N44" s="173">
        <f>Założenia!N114</f>
        <v>2.68</v>
      </c>
      <c r="O44" s="173">
        <f>Założenia!O114</f>
        <v>2.68</v>
      </c>
      <c r="P44" s="173">
        <f>Założenia!P114</f>
        <v>2.68</v>
      </c>
      <c r="Q44" s="173">
        <f>Założenia!Q114</f>
        <v>2.68</v>
      </c>
      <c r="R44" s="173">
        <f>Założenia!R114</f>
        <v>2.68</v>
      </c>
      <c r="S44" s="173">
        <f>Założenia!S114</f>
        <v>2.68</v>
      </c>
      <c r="T44" s="173">
        <f>Założenia!T114</f>
        <v>2.68</v>
      </c>
      <c r="U44" s="13"/>
    </row>
    <row r="45" spans="1:21" s="26" customFormat="1" ht="13.5">
      <c r="A45" s="96"/>
      <c r="B45" s="112" t="s">
        <v>156</v>
      </c>
      <c r="C45" s="214" t="s">
        <v>157</v>
      </c>
      <c r="D45" s="214"/>
      <c r="E45" s="174">
        <f>Założenia!E115</f>
        <v>188.60725391508436</v>
      </c>
      <c r="F45" s="174">
        <f>Założenia!F115</f>
        <v>193.99603259837247</v>
      </c>
      <c r="G45" s="174">
        <f>Założenia!G115</f>
        <v>199.38481128166063</v>
      </c>
      <c r="H45" s="174">
        <f>Założenia!H115</f>
        <v>204.77358996494871</v>
      </c>
      <c r="I45" s="174">
        <f>Założenia!I115</f>
        <v>210.16236864823688</v>
      </c>
      <c r="J45" s="174">
        <f>Założenia!J115</f>
        <v>215.55114733152499</v>
      </c>
      <c r="K45" s="174">
        <f>Założenia!K115</f>
        <v>220.93992601481312</v>
      </c>
      <c r="L45" s="174">
        <f>Założenia!L115</f>
        <v>226.32870469810123</v>
      </c>
      <c r="M45" s="174">
        <f>Założenia!M115</f>
        <v>231.71748338138934</v>
      </c>
      <c r="N45" s="174">
        <f>Założenia!N115</f>
        <v>237.10626206467751</v>
      </c>
      <c r="O45" s="174">
        <f>Założenia!O115</f>
        <v>242.49504074796559</v>
      </c>
      <c r="P45" s="174">
        <f>Założenia!P115</f>
        <v>247.88381943125376</v>
      </c>
      <c r="Q45" s="174">
        <f>Założenia!Q115</f>
        <v>253.27259811454186</v>
      </c>
      <c r="R45" s="174">
        <f>Założenia!R115</f>
        <v>258.66137679782997</v>
      </c>
      <c r="S45" s="174">
        <f>Założenia!S115</f>
        <v>264.05015548111811</v>
      </c>
      <c r="T45" s="174">
        <f>Założenia!T115</f>
        <v>269.43893416440625</v>
      </c>
      <c r="U45" s="13"/>
    </row>
    <row r="46" spans="1:21" s="26" customFormat="1">
      <c r="A46" s="96"/>
      <c r="B46" s="112" t="s">
        <v>461</v>
      </c>
      <c r="C46" s="214" t="s">
        <v>136</v>
      </c>
      <c r="D46" s="214"/>
      <c r="E46" s="106">
        <f>Założenia!D262</f>
        <v>52086.956521739128</v>
      </c>
      <c r="F46" s="106">
        <f>Założenia!E262</f>
        <v>52140</v>
      </c>
      <c r="G46" s="106">
        <f>Założenia!F262</f>
        <v>52140</v>
      </c>
      <c r="H46" s="106">
        <f>Założenia!G262</f>
        <v>52140</v>
      </c>
      <c r="I46" s="106">
        <f>Założenia!H262</f>
        <v>52140</v>
      </c>
      <c r="J46" s="106">
        <f>Założenia!I262</f>
        <v>52140</v>
      </c>
      <c r="K46" s="106">
        <f>Założenia!J262</f>
        <v>52140</v>
      </c>
      <c r="L46" s="106">
        <f>Założenia!K262</f>
        <v>51170</v>
      </c>
      <c r="M46" s="106">
        <f>Założenia!L262</f>
        <v>51170</v>
      </c>
      <c r="N46" s="106">
        <f>Założenia!M262</f>
        <v>51170</v>
      </c>
      <c r="O46" s="106">
        <f>Założenia!N262</f>
        <v>51170</v>
      </c>
      <c r="P46" s="106">
        <f>Założenia!O262</f>
        <v>51170</v>
      </c>
      <c r="Q46" s="106">
        <f>Założenia!P262</f>
        <v>51170</v>
      </c>
      <c r="R46" s="106">
        <f>Założenia!Q262</f>
        <v>51170</v>
      </c>
      <c r="S46" s="106">
        <f>Założenia!R262</f>
        <v>51170</v>
      </c>
      <c r="T46" s="106">
        <f>Założenia!S262</f>
        <v>51170</v>
      </c>
      <c r="U46" s="13"/>
    </row>
    <row r="47" spans="1:21" s="26" customFormat="1">
      <c r="A47" s="96"/>
      <c r="B47" s="112" t="s">
        <v>458</v>
      </c>
      <c r="C47" s="214" t="s">
        <v>136</v>
      </c>
      <c r="D47" s="214"/>
      <c r="E47" s="106">
        <f>Założenia!D263</f>
        <v>55555.555555555555</v>
      </c>
      <c r="F47" s="106">
        <f>Założenia!E263</f>
        <v>55612.131329994445</v>
      </c>
      <c r="G47" s="106">
        <f>Założenia!F263</f>
        <v>55612.131329994445</v>
      </c>
      <c r="H47" s="106">
        <f>Założenia!G263</f>
        <v>55612.131329994445</v>
      </c>
      <c r="I47" s="106">
        <f>Założenia!H263</f>
        <v>55612.131329994445</v>
      </c>
      <c r="J47" s="106">
        <f>Założenia!I263</f>
        <v>55612.131329994445</v>
      </c>
      <c r="K47" s="106">
        <f>Założenia!J263</f>
        <v>55612.131329994445</v>
      </c>
      <c r="L47" s="106">
        <f>Założenia!K263</f>
        <v>51170</v>
      </c>
      <c r="M47" s="106">
        <f>Założenia!L263</f>
        <v>51170</v>
      </c>
      <c r="N47" s="106">
        <f>Założenia!M263</f>
        <v>51170</v>
      </c>
      <c r="O47" s="106">
        <f>Założenia!N263</f>
        <v>51170</v>
      </c>
      <c r="P47" s="106">
        <f>Założenia!O263</f>
        <v>51170</v>
      </c>
      <c r="Q47" s="106">
        <f>Założenia!P263</f>
        <v>51170</v>
      </c>
      <c r="R47" s="106">
        <f>Założenia!Q263</f>
        <v>51170</v>
      </c>
      <c r="S47" s="106">
        <f>Założenia!R263</f>
        <v>51170</v>
      </c>
      <c r="T47" s="106">
        <f>Założenia!S263</f>
        <v>51170</v>
      </c>
      <c r="U47" s="13"/>
    </row>
    <row r="48" spans="1:21" s="26" customFormat="1">
      <c r="A48" s="96"/>
      <c r="B48" s="112" t="s">
        <v>459</v>
      </c>
      <c r="C48" s="214" t="s">
        <v>136</v>
      </c>
      <c r="D48" s="214"/>
      <c r="E48" s="106">
        <f>Założenia!D264</f>
        <v>0</v>
      </c>
      <c r="F48" s="106">
        <f>Założenia!E264</f>
        <v>0</v>
      </c>
      <c r="G48" s="106">
        <f>Założenia!F264</f>
        <v>0</v>
      </c>
      <c r="H48" s="106">
        <f>Założenia!G264</f>
        <v>0</v>
      </c>
      <c r="I48" s="106">
        <f>Założenia!H264</f>
        <v>0</v>
      </c>
      <c r="J48" s="106">
        <f>Założenia!I264</f>
        <v>0</v>
      </c>
      <c r="K48" s="106">
        <f>Założenia!J264</f>
        <v>0</v>
      </c>
      <c r="L48" s="106">
        <f>Założenia!K264</f>
        <v>0</v>
      </c>
      <c r="M48" s="106">
        <f>Założenia!L264</f>
        <v>0</v>
      </c>
      <c r="N48" s="106">
        <f>Założenia!M264</f>
        <v>0</v>
      </c>
      <c r="O48" s="106">
        <f>Założenia!N264</f>
        <v>0</v>
      </c>
      <c r="P48" s="106">
        <f>Założenia!O264</f>
        <v>0</v>
      </c>
      <c r="Q48" s="106">
        <f>Założenia!P264</f>
        <v>0</v>
      </c>
      <c r="R48" s="106">
        <f>Założenia!Q264</f>
        <v>0</v>
      </c>
      <c r="S48" s="106">
        <f>Założenia!R264</f>
        <v>0</v>
      </c>
      <c r="T48" s="106">
        <f>Założenia!S264</f>
        <v>0</v>
      </c>
      <c r="U48" s="13"/>
    </row>
    <row r="49" spans="1:21" s="26" customFormat="1">
      <c r="A49" s="96"/>
      <c r="B49" s="112" t="s">
        <v>460</v>
      </c>
      <c r="C49" s="214" t="s">
        <v>136</v>
      </c>
      <c r="D49" s="214"/>
      <c r="E49" s="106">
        <f>Założenia!D265</f>
        <v>0</v>
      </c>
      <c r="F49" s="106">
        <f>Założenia!E265</f>
        <v>0</v>
      </c>
      <c r="G49" s="106">
        <f>Założenia!F265</f>
        <v>0</v>
      </c>
      <c r="H49" s="106">
        <f>Założenia!G265</f>
        <v>0</v>
      </c>
      <c r="I49" s="106">
        <f>Założenia!H265</f>
        <v>0</v>
      </c>
      <c r="J49" s="106">
        <f>Założenia!I265</f>
        <v>0</v>
      </c>
      <c r="K49" s="106">
        <f>Założenia!J265</f>
        <v>0</v>
      </c>
      <c r="L49" s="106">
        <f>Założenia!K265</f>
        <v>0</v>
      </c>
      <c r="M49" s="106">
        <f>Założenia!L265</f>
        <v>0</v>
      </c>
      <c r="N49" s="106">
        <f>Założenia!M265</f>
        <v>0</v>
      </c>
      <c r="O49" s="106">
        <f>Założenia!N265</f>
        <v>0</v>
      </c>
      <c r="P49" s="106">
        <f>Założenia!O265</f>
        <v>0</v>
      </c>
      <c r="Q49" s="106">
        <f>Założenia!P265</f>
        <v>0</v>
      </c>
      <c r="R49" s="106">
        <f>Założenia!Q265</f>
        <v>0</v>
      </c>
      <c r="S49" s="106">
        <f>Założenia!R265</f>
        <v>0</v>
      </c>
      <c r="T49" s="106">
        <f>Założenia!S265</f>
        <v>0</v>
      </c>
      <c r="U49" s="13"/>
    </row>
    <row r="50" spans="1:21" s="26" customFormat="1" ht="13.5">
      <c r="A50" s="96"/>
      <c r="B50" s="112" t="s">
        <v>225</v>
      </c>
      <c r="C50" s="214" t="s">
        <v>217</v>
      </c>
      <c r="D50" s="214"/>
      <c r="E50" s="106">
        <f>E51+E59</f>
        <v>1194.3152</v>
      </c>
      <c r="F50" s="106">
        <f t="shared" ref="F50:T50" si="10">F51+F59</f>
        <v>1195.5314475325545</v>
      </c>
      <c r="G50" s="106">
        <f t="shared" si="10"/>
        <v>1195.5314475325545</v>
      </c>
      <c r="H50" s="106">
        <f t="shared" si="10"/>
        <v>1195.5314475325545</v>
      </c>
      <c r="I50" s="106">
        <f t="shared" si="10"/>
        <v>1195.5314475325545</v>
      </c>
      <c r="J50" s="106">
        <f t="shared" si="10"/>
        <v>1195.5314475325545</v>
      </c>
      <c r="K50" s="106">
        <f t="shared" si="10"/>
        <v>1195.5314475325545</v>
      </c>
      <c r="L50" s="106">
        <f t="shared" si="10"/>
        <v>1191.7083640000001</v>
      </c>
      <c r="M50" s="106">
        <f t="shared" si="10"/>
        <v>1191.7083640000001</v>
      </c>
      <c r="N50" s="106">
        <f t="shared" si="10"/>
        <v>1191.7083640000001</v>
      </c>
      <c r="O50" s="106">
        <f t="shared" si="10"/>
        <v>1191.7083640000001</v>
      </c>
      <c r="P50" s="106">
        <f t="shared" si="10"/>
        <v>1191.7083640000001</v>
      </c>
      <c r="Q50" s="106">
        <f t="shared" si="10"/>
        <v>1191.7083640000001</v>
      </c>
      <c r="R50" s="106">
        <f t="shared" si="10"/>
        <v>1191.7083640000001</v>
      </c>
      <c r="S50" s="106">
        <f t="shared" si="10"/>
        <v>1191.7083640000001</v>
      </c>
      <c r="T50" s="106">
        <f t="shared" si="10"/>
        <v>1191.7083640000001</v>
      </c>
      <c r="U50" s="13"/>
    </row>
    <row r="51" spans="1:21" s="26" customFormat="1" ht="15">
      <c r="A51" s="96"/>
      <c r="B51" s="166" t="s">
        <v>343</v>
      </c>
      <c r="C51" s="214" t="s">
        <v>351</v>
      </c>
      <c r="D51" s="214"/>
      <c r="E51" s="106">
        <f>SUM(E52:E58)</f>
        <v>1194.3152</v>
      </c>
      <c r="F51" s="106">
        <f>SUM(F52:F58)</f>
        <v>1195.5314475325545</v>
      </c>
      <c r="G51" s="106">
        <f t="shared" ref="G51:T51" si="11">SUM(G52:G58)</f>
        <v>1195.5314475325545</v>
      </c>
      <c r="H51" s="106">
        <f t="shared" si="11"/>
        <v>1195.5314475325545</v>
      </c>
      <c r="I51" s="106">
        <f t="shared" si="11"/>
        <v>1195.5314475325545</v>
      </c>
      <c r="J51" s="106">
        <f t="shared" si="11"/>
        <v>1195.5314475325545</v>
      </c>
      <c r="K51" s="106">
        <f t="shared" si="11"/>
        <v>1195.5314475325545</v>
      </c>
      <c r="L51" s="106">
        <f t="shared" si="11"/>
        <v>1191.7083640000001</v>
      </c>
      <c r="M51" s="106">
        <f t="shared" si="11"/>
        <v>1191.7083640000001</v>
      </c>
      <c r="N51" s="106">
        <f t="shared" si="11"/>
        <v>1191.7083640000001</v>
      </c>
      <c r="O51" s="106">
        <f t="shared" si="11"/>
        <v>1191.7083640000001</v>
      </c>
      <c r="P51" s="106">
        <f t="shared" si="11"/>
        <v>1191.7083640000001</v>
      </c>
      <c r="Q51" s="106">
        <f t="shared" si="11"/>
        <v>1191.7083640000001</v>
      </c>
      <c r="R51" s="106">
        <f t="shared" si="11"/>
        <v>1191.7083640000001</v>
      </c>
      <c r="S51" s="106">
        <f t="shared" si="11"/>
        <v>1191.7083640000001</v>
      </c>
      <c r="T51" s="106">
        <f t="shared" si="11"/>
        <v>1191.7083640000001</v>
      </c>
      <c r="U51" s="13"/>
    </row>
    <row r="52" spans="1:21" s="26" customFormat="1" ht="15">
      <c r="A52" s="96"/>
      <c r="B52" s="109" t="s">
        <v>426</v>
      </c>
      <c r="C52" s="214" t="s">
        <v>351</v>
      </c>
      <c r="D52" s="214"/>
      <c r="E52" s="106">
        <f>Założenia!D247*E$47*E$44/1000*Założenia!$G53/100</f>
        <v>0</v>
      </c>
      <c r="F52" s="106">
        <f>Założenia!E247*F$47*F$44/1000*Założenia!$G53/100</f>
        <v>0</v>
      </c>
      <c r="G52" s="106">
        <f>Założenia!F247*G$47*G$44/1000*Założenia!$G53/100</f>
        <v>0</v>
      </c>
      <c r="H52" s="106">
        <f>Założenia!G247*H$47*H$44/1000*Założenia!$G53/100</f>
        <v>0</v>
      </c>
      <c r="I52" s="106">
        <f>Założenia!H247*I$47*I$44/1000*Założenia!$G53/100</f>
        <v>0</v>
      </c>
      <c r="J52" s="106">
        <f>Założenia!I247*J$47*J$44/1000*Założenia!$G53/100</f>
        <v>0</v>
      </c>
      <c r="K52" s="106">
        <f>Założenia!J247*K$47*K$44/1000*Założenia!$G53/100</f>
        <v>0</v>
      </c>
      <c r="L52" s="106">
        <f>Założenia!K247*L$47*L$44/1000*Założenia!$G53/100</f>
        <v>0</v>
      </c>
      <c r="M52" s="106">
        <f>Założenia!L247*M$47*M$44/1000*Założenia!$G53/100</f>
        <v>0</v>
      </c>
      <c r="N52" s="106">
        <f>Założenia!M247*N$47*N$44/1000*Założenia!$G53/100</f>
        <v>0</v>
      </c>
      <c r="O52" s="106">
        <f>Założenia!N247*O$47*O$44/1000*Założenia!$G53/100</f>
        <v>0</v>
      </c>
      <c r="P52" s="106">
        <f>Założenia!O247*P$47*P$44/1000*Założenia!$G53/100</f>
        <v>0</v>
      </c>
      <c r="Q52" s="106">
        <f>Założenia!P247*Q$47*Q$44/1000*Założenia!$G53/100</f>
        <v>0</v>
      </c>
      <c r="R52" s="106">
        <f>Założenia!Q247*R$47*R$44/1000*Założenia!$G53/100</f>
        <v>0</v>
      </c>
      <c r="S52" s="106">
        <f>Założenia!R247*S$47*S$44/1000*Założenia!$G53/100</f>
        <v>0</v>
      </c>
      <c r="T52" s="106">
        <f>Założenia!S247*T$47*T$44/1000*Założenia!$G53/100</f>
        <v>0</v>
      </c>
      <c r="U52" s="13"/>
    </row>
    <row r="53" spans="1:21" s="1" customFormat="1" ht="15">
      <c r="A53" s="96"/>
      <c r="B53" s="109" t="s">
        <v>432</v>
      </c>
      <c r="C53" s="214" t="s">
        <v>351</v>
      </c>
      <c r="D53" s="300"/>
      <c r="E53" s="106">
        <f>Założenia!D248*E$47*E$44/1000*Założenia!$G54/100</f>
        <v>0</v>
      </c>
      <c r="F53" s="106">
        <f>Założenia!E248*F$47*F$44/1000*Założenia!$G54/100</f>
        <v>0</v>
      </c>
      <c r="G53" s="106">
        <f>Założenia!F248*G$47*G$44/1000*Założenia!$G54/100</f>
        <v>0</v>
      </c>
      <c r="H53" s="106">
        <f>Założenia!G248*H$47*H$44/1000*Założenia!$G54/100</f>
        <v>0</v>
      </c>
      <c r="I53" s="106">
        <f>Założenia!H248*I$47*I$44/1000*Założenia!$G54/100</f>
        <v>0</v>
      </c>
      <c r="J53" s="106">
        <f>Założenia!I248*J$47*J$44/1000*Założenia!$G54/100</f>
        <v>0</v>
      </c>
      <c r="K53" s="106">
        <f>Założenia!J248*K$47*K$44/1000*Założenia!$G54/100</f>
        <v>0</v>
      </c>
      <c r="L53" s="106">
        <f>Założenia!K248*L$47*L$44/1000*Założenia!$G54/100</f>
        <v>0</v>
      </c>
      <c r="M53" s="106">
        <f>Założenia!L248*M$47*M$44/1000*Założenia!$G54/100</f>
        <v>0</v>
      </c>
      <c r="N53" s="106">
        <f>Założenia!M248*N$47*N$44/1000*Założenia!$G54/100</f>
        <v>0</v>
      </c>
      <c r="O53" s="106">
        <f>Założenia!N248*O$47*O$44/1000*Założenia!$G54/100</f>
        <v>0</v>
      </c>
      <c r="P53" s="106">
        <f>Założenia!O248*P$47*P$44/1000*Założenia!$G54/100</f>
        <v>0</v>
      </c>
      <c r="Q53" s="106">
        <f>Założenia!P248*Q$47*Q$44/1000*Założenia!$G54/100</f>
        <v>0</v>
      </c>
      <c r="R53" s="106">
        <f>Założenia!Q248*R$47*R$44/1000*Założenia!$G54/100</f>
        <v>0</v>
      </c>
      <c r="S53" s="106">
        <f>Założenia!R248*S$47*S$44/1000*Założenia!$G54/100</f>
        <v>0</v>
      </c>
      <c r="T53" s="106">
        <f>Założenia!S248*T$47*T$44/1000*Założenia!$G54/100</f>
        <v>0</v>
      </c>
    </row>
    <row r="54" spans="1:21" s="1" customFormat="1" ht="15">
      <c r="A54" s="96"/>
      <c r="B54" s="109" t="s">
        <v>427</v>
      </c>
      <c r="C54" s="214" t="s">
        <v>351</v>
      </c>
      <c r="D54" s="300"/>
      <c r="E54" s="106">
        <f>Założenia!D249*E$47*E$44/1000*Założenia!$G55/100</f>
        <v>0</v>
      </c>
      <c r="F54" s="106">
        <f>Założenia!E249*F$47*F$44/1000*Założenia!$G55/100</f>
        <v>0</v>
      </c>
      <c r="G54" s="106">
        <f>Założenia!F249*G$47*G$44/1000*Założenia!$G55/100</f>
        <v>0</v>
      </c>
      <c r="H54" s="106">
        <f>Założenia!G249*H$47*H$44/1000*Założenia!$G55/100</f>
        <v>0</v>
      </c>
      <c r="I54" s="106">
        <f>Założenia!H249*I$47*I$44/1000*Założenia!$G55/100</f>
        <v>0</v>
      </c>
      <c r="J54" s="106">
        <f>Założenia!I249*J$47*J$44/1000*Założenia!$G55/100</f>
        <v>0</v>
      </c>
      <c r="K54" s="106">
        <f>Założenia!J249*K$47*K$44/1000*Założenia!$G55/100</f>
        <v>0</v>
      </c>
      <c r="L54" s="106">
        <f>Założenia!K249*L$47*L$44/1000*Założenia!$G55/100</f>
        <v>0</v>
      </c>
      <c r="M54" s="106">
        <f>Założenia!L249*M$47*M$44/1000*Założenia!$G55/100</f>
        <v>0</v>
      </c>
      <c r="N54" s="106">
        <f>Założenia!M249*N$47*N$44/1000*Założenia!$G55/100</f>
        <v>0</v>
      </c>
      <c r="O54" s="106">
        <f>Założenia!N249*O$47*O$44/1000*Założenia!$G55/100</f>
        <v>0</v>
      </c>
      <c r="P54" s="106">
        <f>Założenia!O249*P$47*P$44/1000*Założenia!$G55/100</f>
        <v>0</v>
      </c>
      <c r="Q54" s="106">
        <f>Założenia!P249*Q$47*Q$44/1000*Założenia!$G55/100</f>
        <v>0</v>
      </c>
      <c r="R54" s="106">
        <f>Założenia!Q249*R$47*R$44/1000*Założenia!$G55/100</f>
        <v>0</v>
      </c>
      <c r="S54" s="106">
        <f>Założenia!R249*S$47*S$44/1000*Założenia!$G55/100</f>
        <v>0</v>
      </c>
      <c r="T54" s="106">
        <f>Założenia!S249*T$47*T$44/1000*Założenia!$G55/100</f>
        <v>0</v>
      </c>
    </row>
    <row r="55" spans="1:21" s="1" customFormat="1" ht="15">
      <c r="A55" s="96"/>
      <c r="B55" s="109" t="s">
        <v>428</v>
      </c>
      <c r="C55" s="214" t="s">
        <v>351</v>
      </c>
      <c r="D55" s="300"/>
      <c r="E55" s="106">
        <f>Założenia!D250*E$47*E$44/1000*Założenia!$G56/100</f>
        <v>0</v>
      </c>
      <c r="F55" s="106">
        <f>Założenia!E250*F$47*F$44/1000*Założenia!$G56/100</f>
        <v>0</v>
      </c>
      <c r="G55" s="106">
        <f>Założenia!F250*G$47*G$44/1000*Założenia!$G56/100</f>
        <v>0</v>
      </c>
      <c r="H55" s="106">
        <f>Założenia!G250*H$47*H$44/1000*Założenia!$G56/100</f>
        <v>0</v>
      </c>
      <c r="I55" s="106">
        <f>Założenia!H250*I$47*I$44/1000*Założenia!$G56/100</f>
        <v>0</v>
      </c>
      <c r="J55" s="106">
        <f>Założenia!I250*J$47*J$44/1000*Założenia!$G56/100</f>
        <v>0</v>
      </c>
      <c r="K55" s="106">
        <f>Założenia!J250*K$47*K$44/1000*Założenia!$G56/100</f>
        <v>0</v>
      </c>
      <c r="L55" s="106">
        <f>Założenia!K250*L$47*L$44/1000*Założenia!$G56/100</f>
        <v>0</v>
      </c>
      <c r="M55" s="106">
        <f>Założenia!L250*M$47*M$44/1000*Założenia!$G56/100</f>
        <v>0</v>
      </c>
      <c r="N55" s="106">
        <f>Założenia!M250*N$47*N$44/1000*Założenia!$G56/100</f>
        <v>0</v>
      </c>
      <c r="O55" s="106">
        <f>Założenia!N250*O$47*O$44/1000*Założenia!$G56/100</f>
        <v>0</v>
      </c>
      <c r="P55" s="106">
        <f>Założenia!O250*P$47*P$44/1000*Założenia!$G56/100</f>
        <v>0</v>
      </c>
      <c r="Q55" s="106">
        <f>Założenia!P250*Q$47*Q$44/1000*Założenia!$G56/100</f>
        <v>0</v>
      </c>
      <c r="R55" s="106">
        <f>Założenia!Q250*R$47*R$44/1000*Założenia!$G56/100</f>
        <v>0</v>
      </c>
      <c r="S55" s="106">
        <f>Założenia!R250*S$47*S$44/1000*Założenia!$G56/100</f>
        <v>0</v>
      </c>
      <c r="T55" s="106">
        <f>Założenia!S250*T$47*T$44/1000*Założenia!$G56/100</f>
        <v>0</v>
      </c>
    </row>
    <row r="56" spans="1:21" s="1" customFormat="1" ht="13.5">
      <c r="A56" s="96"/>
      <c r="B56" s="109" t="s">
        <v>429</v>
      </c>
      <c r="C56" s="214" t="s">
        <v>217</v>
      </c>
      <c r="D56" s="300"/>
      <c r="E56" s="106">
        <f>Założenia!D251*E$47*E$44/1000*Założenia!$G57/100</f>
        <v>0</v>
      </c>
      <c r="F56" s="106">
        <f>Założenia!E251*F$47*F$44/1000*Założenia!$G57/100</f>
        <v>0</v>
      </c>
      <c r="G56" s="106">
        <f>Założenia!F251*G$47*G$44/1000*Założenia!$G57/100</f>
        <v>0</v>
      </c>
      <c r="H56" s="106">
        <f>Założenia!G251*H$47*H$44/1000*Założenia!$G57/100</f>
        <v>0</v>
      </c>
      <c r="I56" s="106">
        <f>Założenia!H251*I$47*I$44/1000*Założenia!$G57/100</f>
        <v>0</v>
      </c>
      <c r="J56" s="106">
        <f>Założenia!I251*J$47*J$44/1000*Założenia!$G57/100</f>
        <v>0</v>
      </c>
      <c r="K56" s="106">
        <f>Założenia!J251*K$47*K$44/1000*Założenia!$G57/100</f>
        <v>0</v>
      </c>
      <c r="L56" s="106">
        <f>Założenia!K251*L$47*L$44/1000*Założenia!$G57/100</f>
        <v>0</v>
      </c>
      <c r="M56" s="106">
        <f>Założenia!L251*M$47*M$44/1000*Założenia!$G57/100</f>
        <v>0</v>
      </c>
      <c r="N56" s="106">
        <f>Założenia!M251*N$47*N$44/1000*Założenia!$G57/100</f>
        <v>0</v>
      </c>
      <c r="O56" s="106">
        <f>Założenia!N251*O$47*O$44/1000*Założenia!$G57/100</f>
        <v>0</v>
      </c>
      <c r="P56" s="106">
        <f>Założenia!O251*P$47*P$44/1000*Założenia!$G57/100</f>
        <v>0</v>
      </c>
      <c r="Q56" s="106">
        <f>Założenia!P251*Q$47*Q$44/1000*Założenia!$G57/100</f>
        <v>0</v>
      </c>
      <c r="R56" s="106">
        <f>Założenia!Q251*R$47*R$44/1000*Założenia!$G57/100</f>
        <v>0</v>
      </c>
      <c r="S56" s="106">
        <f>Założenia!R251*S$47*S$44/1000*Założenia!$G57/100</f>
        <v>0</v>
      </c>
      <c r="T56" s="106">
        <f>Założenia!S251*T$47*T$44/1000*Założenia!$G57/100</f>
        <v>0</v>
      </c>
    </row>
    <row r="57" spans="1:21" s="1" customFormat="1" ht="13.5">
      <c r="A57" s="96"/>
      <c r="B57" s="109" t="s">
        <v>430</v>
      </c>
      <c r="C57" s="214" t="s">
        <v>217</v>
      </c>
      <c r="D57" s="300"/>
      <c r="E57" s="106">
        <f>Założenia!D252*E$47*E$44/1000*Założenia!$G58/100+Założenia!D244*E$46*E$44/1000*Założenia!$E58/100</f>
        <v>1194.3152</v>
      </c>
      <c r="F57" s="106">
        <f>Założenia!E252*F$47*F$44/1000*Założenia!$G58/100+Założenia!E244*F$46*F$44/1000*Założenia!$E58/100</f>
        <v>1195.5314475325545</v>
      </c>
      <c r="G57" s="106">
        <f>Założenia!F252*G$47*G$44/1000*Założenia!$G58/100+Założenia!F244*G$46*G$44/1000*Założenia!$E58/100</f>
        <v>1195.5314475325545</v>
      </c>
      <c r="H57" s="106">
        <f>Założenia!G252*H$47*H$44/1000*Założenia!$G58/100+Założenia!G244*H$46*H$44/1000*Założenia!$E58/100</f>
        <v>1195.5314475325545</v>
      </c>
      <c r="I57" s="106">
        <f>Założenia!H252*I$47*I$44/1000*Założenia!$G58/100+Założenia!H244*I$46*I$44/1000*Założenia!$E58/100</f>
        <v>1195.5314475325545</v>
      </c>
      <c r="J57" s="106">
        <f>Założenia!I252*J$47*J$44/1000*Założenia!$G58/100+Założenia!I244*J$46*J$44/1000*Założenia!$E58/100</f>
        <v>1195.5314475325545</v>
      </c>
      <c r="K57" s="106">
        <f>Założenia!J252*K$47*K$44/1000*Założenia!$G58/100+Założenia!J244*K$46*K$44/1000*Założenia!$E58/100</f>
        <v>1195.5314475325545</v>
      </c>
      <c r="L57" s="106">
        <f>Założenia!K252*L$47*L$44/1000*Założenia!$G58/100+Założenia!K244*L$46*L$44/1000*Założenia!$E58/100</f>
        <v>1191.7083640000001</v>
      </c>
      <c r="M57" s="106">
        <f>Założenia!L252*M$47*M$44/1000*Założenia!$G58/100+Założenia!L244*M$46*M$44/1000*Założenia!$E58/100</f>
        <v>1191.7083640000001</v>
      </c>
      <c r="N57" s="106">
        <f>Założenia!M252*N$47*N$44/1000*Założenia!$G58/100+Założenia!M244*N$46*N$44/1000*Założenia!$E58/100</f>
        <v>1191.7083640000001</v>
      </c>
      <c r="O57" s="106">
        <f>Założenia!N252*O$47*O$44/1000*Założenia!$G58/100+Założenia!N244*O$46*O$44/1000*Założenia!$E58/100</f>
        <v>1191.7083640000001</v>
      </c>
      <c r="P57" s="106">
        <f>Założenia!O252*P$47*P$44/1000*Założenia!$G58/100+Założenia!O244*P$46*P$44/1000*Założenia!$E58/100</f>
        <v>1191.7083640000001</v>
      </c>
      <c r="Q57" s="106">
        <f>Założenia!P252*Q$47*Q$44/1000*Założenia!$G58/100+Założenia!P244*Q$46*Q$44/1000*Założenia!$E58/100</f>
        <v>1191.7083640000001</v>
      </c>
      <c r="R57" s="106">
        <f>Założenia!Q252*R$47*R$44/1000*Założenia!$G58/100+Założenia!Q244*R$46*R$44/1000*Założenia!$E58/100</f>
        <v>1191.7083640000001</v>
      </c>
      <c r="S57" s="106">
        <f>Założenia!R252*S$47*S$44/1000*Założenia!$G58/100+Założenia!R244*S$46*S$44/1000*Założenia!$E58/100</f>
        <v>1191.7083640000001</v>
      </c>
      <c r="T57" s="106">
        <f>Założenia!S252*T$47*T$44/1000*Założenia!$G58/100+Założenia!S244*T$46*T$44/1000*Założenia!$E58/100</f>
        <v>1191.7083640000001</v>
      </c>
    </row>
    <row r="58" spans="1:21" s="1" customFormat="1" ht="15">
      <c r="A58" s="96"/>
      <c r="B58" s="109" t="s">
        <v>431</v>
      </c>
      <c r="C58" s="214" t="s">
        <v>351</v>
      </c>
      <c r="D58" s="300"/>
      <c r="E58" s="106">
        <f>Założenia!D253*E$48*E$44/1000*Założenia!$G59/100</f>
        <v>0</v>
      </c>
      <c r="F58" s="106">
        <f>Założenia!E253*F$48*F$44/1000*Założenia!$G59/100</f>
        <v>0</v>
      </c>
      <c r="G58" s="106">
        <f>Założenia!F253*G$48*G$44/1000*Założenia!$G59/100</f>
        <v>0</v>
      </c>
      <c r="H58" s="106">
        <f>Założenia!G253*H$48*H$44/1000*Założenia!$G59/100</f>
        <v>0</v>
      </c>
      <c r="I58" s="106">
        <f>Założenia!H253*I$48*I$44/1000*Założenia!$G59/100</f>
        <v>0</v>
      </c>
      <c r="J58" s="106">
        <f>Założenia!I253*J$48*J$44/1000*Założenia!$G59/100</f>
        <v>0</v>
      </c>
      <c r="K58" s="106">
        <f>Założenia!J253*K$48*K$44/1000*Założenia!$G59/100</f>
        <v>0</v>
      </c>
      <c r="L58" s="106">
        <f>Założenia!K253*L$48*L$44/1000*Założenia!$G59/100</f>
        <v>0</v>
      </c>
      <c r="M58" s="106">
        <f>Założenia!L253*M$48*M$44/1000*Założenia!$G59/100</f>
        <v>0</v>
      </c>
      <c r="N58" s="106">
        <f>Założenia!M253*N$48*N$44/1000*Założenia!$G59/100</f>
        <v>0</v>
      </c>
      <c r="O58" s="106">
        <f>Założenia!N253*O$48*O$44/1000*Założenia!$G59/100</f>
        <v>0</v>
      </c>
      <c r="P58" s="106">
        <f>Założenia!O253*P$48*P$44/1000*Założenia!$G59/100</f>
        <v>0</v>
      </c>
      <c r="Q58" s="106">
        <f>Założenia!P253*Q$48*Q$44/1000*Założenia!$G59/100</f>
        <v>0</v>
      </c>
      <c r="R58" s="106">
        <f>Założenia!Q253*R$48*R$44/1000*Założenia!$G59/100</f>
        <v>0</v>
      </c>
      <c r="S58" s="106">
        <f>Założenia!R253*S$48*S$44/1000*Założenia!$G59/100</f>
        <v>0</v>
      </c>
      <c r="T58" s="106">
        <f>Założenia!S253*T$48*T$44/1000*Założenia!$G59/100</f>
        <v>0</v>
      </c>
    </row>
    <row r="59" spans="1:21" s="1" customFormat="1" ht="13.5">
      <c r="A59" s="96"/>
      <c r="B59" s="110" t="s">
        <v>342</v>
      </c>
      <c r="C59" s="214" t="s">
        <v>217</v>
      </c>
      <c r="D59" s="300"/>
      <c r="E59" s="106">
        <v>0</v>
      </c>
      <c r="F59" s="106">
        <v>0</v>
      </c>
      <c r="G59" s="106">
        <v>0</v>
      </c>
      <c r="H59" s="106">
        <v>0</v>
      </c>
      <c r="I59" s="106">
        <v>0</v>
      </c>
      <c r="J59" s="106">
        <v>0</v>
      </c>
      <c r="K59" s="106">
        <v>0</v>
      </c>
      <c r="L59" s="106">
        <v>0</v>
      </c>
      <c r="M59" s="106">
        <v>0</v>
      </c>
      <c r="N59" s="106">
        <v>0</v>
      </c>
      <c r="O59" s="106">
        <v>0</v>
      </c>
      <c r="P59" s="106">
        <v>0</v>
      </c>
      <c r="Q59" s="106">
        <v>0</v>
      </c>
      <c r="R59" s="106">
        <v>0</v>
      </c>
      <c r="S59" s="106">
        <v>0</v>
      </c>
      <c r="T59" s="106">
        <v>0</v>
      </c>
    </row>
    <row r="60" spans="1:21" s="26" customFormat="1">
      <c r="A60" s="108" t="s">
        <v>35</v>
      </c>
      <c r="B60" s="166" t="s">
        <v>159</v>
      </c>
      <c r="C60" s="214" t="s">
        <v>0</v>
      </c>
      <c r="D60" s="214"/>
      <c r="E60" s="107">
        <f>(E62*Założenia!E96*(1+Założenia!$C$110)+E70*Założenia!E96)+(E72*Założenia!E99*(1+Założenia!$C$110)+E80*Założenia!E99)+(E82*Założenia!E97*(1+Założenia!$C$110)+E90*Założenia!E97)</f>
        <v>239740.03094104541</v>
      </c>
      <c r="F60" s="107">
        <f>(F62*Założenia!F96*(1+Założenia!$C$110)+F70*Założenia!F96)+(F72*Założenia!F99*(1+Założenia!$C$110)+F80*Założenia!F99)+(F82*Założenia!F97*(1+Założenia!$C$110)+F90*Założenia!F97)</f>
        <v>249748.58013461463</v>
      </c>
      <c r="G60" s="107">
        <f>(G62*Założenia!G96*(1+Założenia!$C$110)+G70*Założenia!G96)+(G72*Założenia!G99*(1+Założenia!$C$110)+G80*Założenia!G99)+(G82*Założenia!G97*(1+Założenia!$C$110)+G90*Założenia!G97)</f>
        <v>259340.31830486309</v>
      </c>
      <c r="H60" s="107">
        <f>(H62*Założenia!H96*(1+Założenia!$C$110)+H70*Założenia!H96)+(H72*Założenia!H99*(1+Założenia!$C$110)+H80*Założenia!H99)+(H82*Założenia!H97*(1+Założenia!$C$110)+H90*Założenia!H97)</f>
        <v>267464.0875356567</v>
      </c>
      <c r="I60" s="107">
        <f>(I62*Założenia!I96*(1+Założenia!$C$110)+I70*Założenia!I96)+(I72*Założenia!I99*(1+Założenia!$C$110)+I80*Założenia!I99)+(I82*Założenia!I97*(1+Założenia!$C$110)+I90*Założenia!I97)</f>
        <v>275452.18739009043</v>
      </c>
      <c r="J60" s="107">
        <f>(J62*Założenia!J96*(1+Założenia!$C$110)+J70*Założenia!J96)+(J72*Założenia!J99*(1+Założenia!$C$110)+J80*Założenia!J99)+(J82*Założenia!J97*(1+Założenia!$C$110)+J90*Założenia!J97)</f>
        <v>283719.89280875522</v>
      </c>
      <c r="K60" s="107">
        <f>(K62*Założenia!K96*(1+Założenia!$C$110)+K70*Założenia!K96)+(K72*Założenia!K99*(1+Założenia!$C$110)+K80*Założenia!K99)+(K82*Założenia!K97*(1+Założenia!$C$110)+K90*Założenia!K97)</f>
        <v>292278.35007817013</v>
      </c>
      <c r="L60" s="107">
        <f>(L62*Założenia!L96*(1+Założenia!$C$110)+L70*Założenia!L96)+(L72*Założenia!L99*(1+Założenia!$C$110)+L80*Założenia!L99)+(L82*Założenia!L97*(1+Założenia!$C$110)+L90*Założenia!L97)</f>
        <v>299942.42075129563</v>
      </c>
      <c r="M60" s="107">
        <f>(M62*Założenia!M96*(1+Założenia!$C$110)+M70*Założenia!M96)+(M72*Założenia!M99*(1+Założenia!$C$110)+M80*Założenia!M99)+(M82*Założenia!M97*(1+Założenia!$C$110)+M90*Założenia!M97)</f>
        <v>308599.22876377113</v>
      </c>
      <c r="N60" s="107">
        <f>(N62*Założenia!N96*(1+Założenia!$C$110)+N70*Założenia!N96)+(N72*Założenia!N99*(1+Założenia!$C$110)+N80*Założenia!N99)+(N82*Założenia!N97*(1+Założenia!$C$110)+N90*Założenia!N97)</f>
        <v>317055.72933095891</v>
      </c>
      <c r="O60" s="107">
        <f>(O62*Założenia!O96*(1+Założenia!$C$110)+O70*Założenia!O96)+(O72*Założenia!O99*(1+Założenia!$C$110)+O80*Założenia!O99)+(O82*Założenia!O97*(1+Założenia!$C$110)+O90*Założenia!O97)</f>
        <v>325279.86325722991</v>
      </c>
      <c r="P60" s="107">
        <f>(P62*Założenia!P96*(1+Założenia!$C$110)+P70*Założenia!P96)+(P72*Założenia!P99*(1+Założenia!$C$110)+P80*Założenia!P99)+(P82*Założenia!P97*(1+Założenia!$C$110)+P90*Założenia!P97)</f>
        <v>333507.8162410669</v>
      </c>
      <c r="Q60" s="107">
        <f>(Q62*Założenia!Q96*(1+Założenia!$C$110)+Q70*Założenia!Q96)+(Q72*Założenia!Q99*(1+Założenia!$C$110)+Q80*Założenia!Q99)+(Q82*Założenia!Q97*(1+Założenia!$C$110)+Q90*Założenia!Q97)</f>
        <v>341725.79658487276</v>
      </c>
      <c r="R60" s="107">
        <f>(R62*Założenia!R96*(1+Założenia!$C$110)+R70*Założenia!R96)+(R72*Założenia!R99*(1+Założenia!$C$110)+R80*Założenia!R99)+(R82*Założenia!R97*(1+Założenia!$C$110)+R90*Założenia!R97)</f>
        <v>349919.00902546645</v>
      </c>
      <c r="S60" s="107">
        <f>(S62*Założenia!S96*(1+Założenia!$C$110)+S70*Założenia!S96)+(S72*Założenia!S99*(1+Założenia!$C$110)+S80*Założenia!S99)+(S82*Założenia!S97*(1+Założenia!$C$110)+S90*Założenia!S97)</f>
        <v>358071.48879954813</v>
      </c>
      <c r="T60" s="107">
        <f>(T62*Założenia!T96*(1+Założenia!$C$110)+T70*Założenia!T96)+(T72*Założenia!T99*(1+Założenia!$C$110)+T80*Założenia!T99)+(T82*Założenia!T97*(1+Założenia!$C$110)+T90*Założenia!T97)</f>
        <v>366453.14556186041</v>
      </c>
      <c r="U60" s="13"/>
    </row>
    <row r="61" spans="1:21" s="26" customFormat="1">
      <c r="A61" s="96" t="s">
        <v>49</v>
      </c>
      <c r="B61" s="112" t="s">
        <v>183</v>
      </c>
      <c r="C61" s="214" t="s">
        <v>218</v>
      </c>
      <c r="D61" s="214"/>
      <c r="E61" s="194">
        <f>E62+E70</f>
        <v>1.7825600000000001</v>
      </c>
      <c r="F61" s="194">
        <f t="shared" ref="F61:T61" si="12">F62+F70</f>
        <v>1.784375294824708</v>
      </c>
      <c r="G61" s="194">
        <f t="shared" si="12"/>
        <v>1.784375294824708</v>
      </c>
      <c r="H61" s="194">
        <f t="shared" si="12"/>
        <v>1.784375294824708</v>
      </c>
      <c r="I61" s="194">
        <f t="shared" si="12"/>
        <v>1.784375294824708</v>
      </c>
      <c r="J61" s="194">
        <f t="shared" si="12"/>
        <v>1.784375294824708</v>
      </c>
      <c r="K61" s="194">
        <f t="shared" si="12"/>
        <v>1.784375294824708</v>
      </c>
      <c r="L61" s="194">
        <f t="shared" si="12"/>
        <v>1.7786692</v>
      </c>
      <c r="M61" s="194">
        <f t="shared" si="12"/>
        <v>1.7786692</v>
      </c>
      <c r="N61" s="194">
        <f t="shared" si="12"/>
        <v>1.7786692</v>
      </c>
      <c r="O61" s="194">
        <f t="shared" si="12"/>
        <v>1.7786692</v>
      </c>
      <c r="P61" s="194">
        <f t="shared" si="12"/>
        <v>1.7786692</v>
      </c>
      <c r="Q61" s="194">
        <f t="shared" si="12"/>
        <v>1.7786692</v>
      </c>
      <c r="R61" s="194">
        <f t="shared" si="12"/>
        <v>1.7786692</v>
      </c>
      <c r="S61" s="194">
        <f t="shared" si="12"/>
        <v>1.7786692</v>
      </c>
      <c r="T61" s="194">
        <f t="shared" si="12"/>
        <v>1.7786692</v>
      </c>
      <c r="U61" s="13"/>
    </row>
    <row r="62" spans="1:21" s="26" customFormat="1">
      <c r="A62" s="96"/>
      <c r="B62" s="166" t="s">
        <v>343</v>
      </c>
      <c r="C62" s="214" t="s">
        <v>218</v>
      </c>
      <c r="D62" s="214"/>
      <c r="E62" s="106">
        <f>SUM(E63:E69)</f>
        <v>1.7825600000000001</v>
      </c>
      <c r="F62" s="106">
        <f t="shared" ref="F62:T62" si="13">SUM(F63:F69)</f>
        <v>1.784375294824708</v>
      </c>
      <c r="G62" s="106">
        <f>SUM(G63:G69)</f>
        <v>1.784375294824708</v>
      </c>
      <c r="H62" s="106">
        <f t="shared" si="13"/>
        <v>1.784375294824708</v>
      </c>
      <c r="I62" s="106">
        <f t="shared" si="13"/>
        <v>1.784375294824708</v>
      </c>
      <c r="J62" s="106">
        <f t="shared" si="13"/>
        <v>1.784375294824708</v>
      </c>
      <c r="K62" s="106">
        <f t="shared" si="13"/>
        <v>1.784375294824708</v>
      </c>
      <c r="L62" s="106">
        <f t="shared" si="13"/>
        <v>1.7786692</v>
      </c>
      <c r="M62" s="106">
        <f t="shared" si="13"/>
        <v>1.7786692</v>
      </c>
      <c r="N62" s="106">
        <f t="shared" si="13"/>
        <v>1.7786692</v>
      </c>
      <c r="O62" s="106">
        <f t="shared" si="13"/>
        <v>1.7786692</v>
      </c>
      <c r="P62" s="106">
        <f t="shared" si="13"/>
        <v>1.7786692</v>
      </c>
      <c r="Q62" s="106">
        <f t="shared" si="13"/>
        <v>1.7786692</v>
      </c>
      <c r="R62" s="106">
        <f t="shared" si="13"/>
        <v>1.7786692</v>
      </c>
      <c r="S62" s="106">
        <f t="shared" si="13"/>
        <v>1.7786692</v>
      </c>
      <c r="T62" s="106">
        <f t="shared" si="13"/>
        <v>1.7786692</v>
      </c>
      <c r="U62" s="13"/>
    </row>
    <row r="63" spans="1:21" s="26" customFormat="1">
      <c r="A63" s="96"/>
      <c r="B63" s="109" t="s">
        <v>426</v>
      </c>
      <c r="C63" s="214" t="s">
        <v>218</v>
      </c>
      <c r="D63" s="214"/>
      <c r="E63" s="174">
        <f>Założenia!D247*Założenia!D$263*Założenia!$F$72/1000000</f>
        <v>0</v>
      </c>
      <c r="F63" s="174">
        <f>Założenia!E247*Założenia!E$263*Założenia!$F$72/1000000</f>
        <v>0</v>
      </c>
      <c r="G63" s="174">
        <f>Założenia!F247*Założenia!F$263*Założenia!$F$72/1000000</f>
        <v>0</v>
      </c>
      <c r="H63" s="174">
        <f>Założenia!G247*Założenia!G$263*Założenia!$F$72/1000000</f>
        <v>0</v>
      </c>
      <c r="I63" s="174">
        <f>Założenia!H247*Założenia!H$263*Założenia!$F$72/1000000</f>
        <v>0</v>
      </c>
      <c r="J63" s="174">
        <f>Założenia!I247*Założenia!I$263*Założenia!$F$72/1000000</f>
        <v>0</v>
      </c>
      <c r="K63" s="174">
        <f>Założenia!J247*Założenia!J$263*Założenia!$F$72/1000000</f>
        <v>0</v>
      </c>
      <c r="L63" s="174">
        <f>Założenia!K247*Założenia!K$263*Założenia!$F$72/1000000</f>
        <v>0</v>
      </c>
      <c r="M63" s="174">
        <f>Założenia!L247*Założenia!L$263*Założenia!$F$72/1000000</f>
        <v>0</v>
      </c>
      <c r="N63" s="174">
        <f>Założenia!M247*Założenia!M$263*Założenia!$F$72/1000000</f>
        <v>0</v>
      </c>
      <c r="O63" s="174">
        <f>Założenia!N247*Założenia!N$263*Założenia!$F$72/1000000</f>
        <v>0</v>
      </c>
      <c r="P63" s="174">
        <f>Założenia!O247*Założenia!O$263*Założenia!$F$72/1000000</f>
        <v>0</v>
      </c>
      <c r="Q63" s="174">
        <f>Założenia!P247*Założenia!P$263*Założenia!$F$72/1000000</f>
        <v>0</v>
      </c>
      <c r="R63" s="174">
        <f>Założenia!Q247*Założenia!Q$263*Założenia!$F$72/1000000</f>
        <v>0</v>
      </c>
      <c r="S63" s="174">
        <f>Założenia!R247*Założenia!R$263*Założenia!$F$72/1000000</f>
        <v>0</v>
      </c>
      <c r="T63" s="174">
        <f>Założenia!S247*Założenia!S$263*Założenia!$F$72/1000000</f>
        <v>0</v>
      </c>
      <c r="U63" s="13"/>
    </row>
    <row r="64" spans="1:21" s="32" customFormat="1" ht="12">
      <c r="A64" s="96"/>
      <c r="B64" s="109" t="s">
        <v>432</v>
      </c>
      <c r="C64" s="214" t="s">
        <v>218</v>
      </c>
      <c r="D64" s="214"/>
      <c r="E64" s="174">
        <f>Założenia!D248*Założenia!D$263*Założenia!$F$73/1000000</f>
        <v>0</v>
      </c>
      <c r="F64" s="174">
        <f>Założenia!E248*Założenia!E$263*Założenia!$F$73/1000000</f>
        <v>0</v>
      </c>
      <c r="G64" s="174">
        <f>Założenia!F248*Założenia!F$263*Założenia!$F$73/1000000</f>
        <v>0</v>
      </c>
      <c r="H64" s="174">
        <f>Założenia!G248*Założenia!G$263*Założenia!$F$73/1000000</f>
        <v>0</v>
      </c>
      <c r="I64" s="174">
        <f>Założenia!H248*Założenia!H$263*Założenia!$F$73/1000000</f>
        <v>0</v>
      </c>
      <c r="J64" s="174">
        <f>Założenia!I248*Założenia!I$263*Założenia!$F$73/1000000</f>
        <v>0</v>
      </c>
      <c r="K64" s="174">
        <f>Założenia!J248*Założenia!J$263*Założenia!$F$73/1000000</f>
        <v>0</v>
      </c>
      <c r="L64" s="174">
        <f>Założenia!K248*Założenia!K$263*Założenia!$F$73/1000000</f>
        <v>0</v>
      </c>
      <c r="M64" s="174">
        <f>Założenia!L248*Założenia!L$263*Założenia!$F$73/1000000</f>
        <v>0</v>
      </c>
      <c r="N64" s="174">
        <f>Założenia!M248*Założenia!M$263*Założenia!$F$73/1000000</f>
        <v>0</v>
      </c>
      <c r="O64" s="174">
        <f>Założenia!N248*Założenia!N$263*Założenia!$F$73/1000000</f>
        <v>0</v>
      </c>
      <c r="P64" s="174">
        <f>Założenia!O248*Założenia!O$263*Założenia!$F$73/1000000</f>
        <v>0</v>
      </c>
      <c r="Q64" s="174">
        <f>Założenia!P248*Założenia!P$263*Założenia!$F$73/1000000</f>
        <v>0</v>
      </c>
      <c r="R64" s="174">
        <f>Założenia!Q248*Założenia!Q$263*Założenia!$F$73/1000000</f>
        <v>0</v>
      </c>
      <c r="S64" s="174">
        <f>Założenia!R248*Założenia!R$263*Założenia!$F$73/1000000</f>
        <v>0</v>
      </c>
      <c r="T64" s="174">
        <f>Założenia!S248*Założenia!S$263*Założenia!$F$73/1000000</f>
        <v>0</v>
      </c>
      <c r="U64" s="13"/>
    </row>
    <row r="65" spans="1:21" s="32" customFormat="1" ht="12">
      <c r="A65" s="96"/>
      <c r="B65" s="109" t="s">
        <v>427</v>
      </c>
      <c r="C65" s="214" t="s">
        <v>218</v>
      </c>
      <c r="D65" s="214"/>
      <c r="E65" s="174">
        <f>Założenia!D249*Założenia!D$263*Założenia!$F$74/1000000</f>
        <v>0</v>
      </c>
      <c r="F65" s="174">
        <f>Założenia!E249*Założenia!E$263*Założenia!$F$74/1000000</f>
        <v>0</v>
      </c>
      <c r="G65" s="174">
        <f>Założenia!F249*Założenia!F$263*Założenia!$F$74/1000000</f>
        <v>0</v>
      </c>
      <c r="H65" s="174">
        <f>Założenia!G249*Założenia!G$263*Założenia!$F$74/1000000</f>
        <v>0</v>
      </c>
      <c r="I65" s="174">
        <f>Założenia!H249*Założenia!H$263*Założenia!$F$74/1000000</f>
        <v>0</v>
      </c>
      <c r="J65" s="174">
        <f>Założenia!I249*Założenia!I$263*Założenia!$F$74/1000000</f>
        <v>0</v>
      </c>
      <c r="K65" s="174">
        <f>Założenia!J249*Założenia!J$263*Założenia!$F$74/1000000</f>
        <v>0</v>
      </c>
      <c r="L65" s="174">
        <f>Założenia!K249*Założenia!K$263*Założenia!$F$74/1000000</f>
        <v>0</v>
      </c>
      <c r="M65" s="174">
        <f>Założenia!L249*Założenia!L$263*Założenia!$F$74/1000000</f>
        <v>0</v>
      </c>
      <c r="N65" s="174">
        <f>Założenia!M249*Założenia!M$263*Założenia!$F$74/1000000</f>
        <v>0</v>
      </c>
      <c r="O65" s="174">
        <f>Założenia!N249*Założenia!N$263*Założenia!$F$74/1000000</f>
        <v>0</v>
      </c>
      <c r="P65" s="174">
        <f>Założenia!O249*Założenia!O$263*Założenia!$F$74/1000000</f>
        <v>0</v>
      </c>
      <c r="Q65" s="174">
        <f>Założenia!P249*Założenia!P$263*Założenia!$F$74/1000000</f>
        <v>0</v>
      </c>
      <c r="R65" s="174">
        <f>Założenia!Q249*Założenia!Q$263*Założenia!$F$74/1000000</f>
        <v>0</v>
      </c>
      <c r="S65" s="174">
        <f>Założenia!R249*Założenia!R$263*Założenia!$F$74/1000000</f>
        <v>0</v>
      </c>
      <c r="T65" s="174">
        <f>Założenia!S249*Założenia!S$263*Założenia!$F$74/1000000</f>
        <v>0</v>
      </c>
      <c r="U65" s="13"/>
    </row>
    <row r="66" spans="1:21" s="32" customFormat="1" ht="12">
      <c r="A66" s="96"/>
      <c r="B66" s="109" t="s">
        <v>428</v>
      </c>
      <c r="C66" s="214" t="s">
        <v>218</v>
      </c>
      <c r="D66" s="214"/>
      <c r="E66" s="174">
        <f>Założenia!D250*Założenia!D$263*Założenia!$F$75/1000000</f>
        <v>0</v>
      </c>
      <c r="F66" s="174">
        <f>Założenia!E250*Założenia!E$263*Założenia!$F$75/1000000</f>
        <v>0</v>
      </c>
      <c r="G66" s="174">
        <f>Założenia!F250*Założenia!F$263*Założenia!$F$75/1000000</f>
        <v>0</v>
      </c>
      <c r="H66" s="174">
        <f>Założenia!G250*Założenia!G$263*Założenia!$F$75/1000000</f>
        <v>0</v>
      </c>
      <c r="I66" s="174">
        <f>Założenia!H250*Założenia!H$263*Założenia!$F$75/1000000</f>
        <v>0</v>
      </c>
      <c r="J66" s="174">
        <f>Założenia!I250*Założenia!I$263*Założenia!$F$75/1000000</f>
        <v>0</v>
      </c>
      <c r="K66" s="174">
        <f>Założenia!J250*Założenia!J$263*Założenia!$F$75/1000000</f>
        <v>0</v>
      </c>
      <c r="L66" s="174">
        <f>Założenia!K250*Założenia!K$263*Założenia!$F$75/1000000</f>
        <v>0</v>
      </c>
      <c r="M66" s="174">
        <f>Założenia!L250*Założenia!L$263*Założenia!$F$75/1000000</f>
        <v>0</v>
      </c>
      <c r="N66" s="174">
        <f>Założenia!M250*Założenia!M$263*Założenia!$F$75/1000000</f>
        <v>0</v>
      </c>
      <c r="O66" s="174">
        <f>Założenia!N250*Założenia!N$263*Założenia!$F$75/1000000</f>
        <v>0</v>
      </c>
      <c r="P66" s="174">
        <f>Założenia!O250*Założenia!O$263*Założenia!$F$75/1000000</f>
        <v>0</v>
      </c>
      <c r="Q66" s="174">
        <f>Założenia!P250*Założenia!P$263*Założenia!$F$75/1000000</f>
        <v>0</v>
      </c>
      <c r="R66" s="174">
        <f>Założenia!Q250*Założenia!Q$263*Założenia!$F$75/1000000</f>
        <v>0</v>
      </c>
      <c r="S66" s="174">
        <f>Założenia!R250*Założenia!R$263*Założenia!$F$75/1000000</f>
        <v>0</v>
      </c>
      <c r="T66" s="174">
        <f>Założenia!S250*Założenia!S$263*Założenia!$F$75/1000000</f>
        <v>0</v>
      </c>
      <c r="U66" s="13"/>
    </row>
    <row r="67" spans="1:21" s="32" customFormat="1" ht="12">
      <c r="A67" s="96"/>
      <c r="B67" s="109" t="s">
        <v>429</v>
      </c>
      <c r="C67" s="214" t="s">
        <v>218</v>
      </c>
      <c r="D67" s="214"/>
      <c r="E67" s="174">
        <f>Założenia!D251*Założenia!D$263*Założenia!$F$76/1000000</f>
        <v>0</v>
      </c>
      <c r="F67" s="174">
        <f>Założenia!E251*Założenia!E$263*Założenia!$F$76/1000000</f>
        <v>0</v>
      </c>
      <c r="G67" s="174">
        <f>Założenia!F251*Założenia!F$263*Założenia!$F$76/1000000</f>
        <v>0</v>
      </c>
      <c r="H67" s="174">
        <f>Założenia!G251*Założenia!G$263*Założenia!$F$76/1000000</f>
        <v>0</v>
      </c>
      <c r="I67" s="174">
        <f>Założenia!H251*Założenia!H$263*Założenia!$F$76/1000000</f>
        <v>0</v>
      </c>
      <c r="J67" s="174">
        <f>Założenia!I251*Założenia!I$263*Założenia!$F$76/1000000</f>
        <v>0</v>
      </c>
      <c r="K67" s="174">
        <f>Założenia!J251*Założenia!J$263*Założenia!$F$76/1000000</f>
        <v>0</v>
      </c>
      <c r="L67" s="174">
        <f>Założenia!K251*Założenia!K$263*Założenia!$F$76/1000000</f>
        <v>0</v>
      </c>
      <c r="M67" s="174">
        <f>Założenia!L251*Założenia!L$263*Założenia!$F$76/1000000</f>
        <v>0</v>
      </c>
      <c r="N67" s="174">
        <f>Założenia!M251*Założenia!M$263*Założenia!$F$76/1000000</f>
        <v>0</v>
      </c>
      <c r="O67" s="174">
        <f>Założenia!N251*Założenia!N$263*Założenia!$F$76/1000000</f>
        <v>0</v>
      </c>
      <c r="P67" s="174">
        <f>Założenia!O251*Założenia!O$263*Założenia!$F$76/1000000</f>
        <v>0</v>
      </c>
      <c r="Q67" s="174">
        <f>Założenia!P251*Założenia!P$263*Założenia!$F$76/1000000</f>
        <v>0</v>
      </c>
      <c r="R67" s="174">
        <f>Założenia!Q251*Założenia!Q$263*Założenia!$F$76/1000000</f>
        <v>0</v>
      </c>
      <c r="S67" s="174">
        <f>Założenia!R251*Założenia!R$263*Założenia!$F$76/1000000</f>
        <v>0</v>
      </c>
      <c r="T67" s="174">
        <f>Założenia!S251*Założenia!S$263*Założenia!$F$76/1000000</f>
        <v>0</v>
      </c>
      <c r="U67" s="13"/>
    </row>
    <row r="68" spans="1:21" s="32" customFormat="1" ht="12">
      <c r="A68" s="96"/>
      <c r="B68" s="109" t="s">
        <v>430</v>
      </c>
      <c r="C68" s="214" t="s">
        <v>218</v>
      </c>
      <c r="D68" s="214"/>
      <c r="E68" s="174">
        <f>Założenia!D252*Założenia!D$263*Założenia!$F$77/1000000+Założenia!D244*E46*Założenia!$F$68/1000000</f>
        <v>1.7825600000000001</v>
      </c>
      <c r="F68" s="174">
        <f>Założenia!E252*Założenia!E$263*Założenia!$F$77/1000000+Założenia!E244*F46*Założenia!$F$68/1000000</f>
        <v>1.784375294824708</v>
      </c>
      <c r="G68" s="174">
        <f>Założenia!F252*Założenia!F$263*Założenia!$F$77/1000000+Założenia!F244*G46*Założenia!$F$68/1000000</f>
        <v>1.784375294824708</v>
      </c>
      <c r="H68" s="174">
        <f>Założenia!G252*Założenia!G$263*Założenia!$F$77/1000000+Założenia!G244*H46*Założenia!$F$68/1000000</f>
        <v>1.784375294824708</v>
      </c>
      <c r="I68" s="174">
        <f>Założenia!H252*Założenia!H$263*Założenia!$F$77/1000000+Założenia!H244*I46*Założenia!$F$68/1000000</f>
        <v>1.784375294824708</v>
      </c>
      <c r="J68" s="174">
        <f>Założenia!I252*Założenia!I$263*Założenia!$F$77/1000000+Założenia!I244*J46*Założenia!$F$68/1000000</f>
        <v>1.784375294824708</v>
      </c>
      <c r="K68" s="174">
        <f>Założenia!J252*Założenia!J$263*Założenia!$F$77/1000000+Założenia!J244*K46*Założenia!$F$68/1000000</f>
        <v>1.784375294824708</v>
      </c>
      <c r="L68" s="174">
        <f>Założenia!K252*Założenia!K$263*Założenia!$F$77/1000000+Założenia!K244*L46*Założenia!$F$68/1000000</f>
        <v>1.7786692</v>
      </c>
      <c r="M68" s="174">
        <f>Założenia!L252*Założenia!L$263*Założenia!$F$77/1000000+Założenia!L244*M46*Założenia!$F$68/1000000</f>
        <v>1.7786692</v>
      </c>
      <c r="N68" s="174">
        <f>Założenia!M252*Założenia!M$263*Założenia!$F$77/1000000+Założenia!M244*N46*Założenia!$F$68/1000000</f>
        <v>1.7786692</v>
      </c>
      <c r="O68" s="174">
        <f>Założenia!N252*Założenia!N$263*Założenia!$F$77/1000000+Założenia!N244*O46*Założenia!$F$68/1000000</f>
        <v>1.7786692</v>
      </c>
      <c r="P68" s="174">
        <f>Założenia!O252*Założenia!O$263*Założenia!$F$77/1000000+Założenia!O244*P46*Założenia!$F$68/1000000</f>
        <v>1.7786692</v>
      </c>
      <c r="Q68" s="174">
        <f>Założenia!P252*Założenia!P$263*Założenia!$F$77/1000000+Założenia!P244*Q46*Założenia!$F$68/1000000</f>
        <v>1.7786692</v>
      </c>
      <c r="R68" s="174">
        <f>Założenia!Q252*Założenia!Q$263*Założenia!$F$77/1000000+Założenia!Q244*R46*Założenia!$F$68/1000000</f>
        <v>1.7786692</v>
      </c>
      <c r="S68" s="174">
        <f>Założenia!R252*Założenia!R$263*Założenia!$F$77/1000000+Założenia!R244*S46*Założenia!$F$68/1000000</f>
        <v>1.7786692</v>
      </c>
      <c r="T68" s="174">
        <f>Założenia!S252*Założenia!S$263*Założenia!$F$77/1000000+Założenia!S244*T46*Założenia!$F$68/1000000</f>
        <v>1.7786692</v>
      </c>
      <c r="U68" s="13"/>
    </row>
    <row r="69" spans="1:21" s="32" customFormat="1" ht="12">
      <c r="A69" s="96"/>
      <c r="B69" s="109" t="s">
        <v>431</v>
      </c>
      <c r="C69" s="214" t="s">
        <v>218</v>
      </c>
      <c r="D69" s="214"/>
      <c r="E69" s="174">
        <f>Założenia!D253*Założenia!D264*Założenia!$I77/1000000</f>
        <v>0</v>
      </c>
      <c r="F69" s="174">
        <f>Założenia!E253*Założenia!E264*Założenia!$I77/1000000</f>
        <v>0</v>
      </c>
      <c r="G69" s="174">
        <f>Założenia!F253*Założenia!F264*Założenia!$I77/1000000</f>
        <v>0</v>
      </c>
      <c r="H69" s="174">
        <f>Założenia!G253*Założenia!G264*Założenia!$I77/1000000</f>
        <v>0</v>
      </c>
      <c r="I69" s="174">
        <f>Założenia!H253*Założenia!H264*Założenia!$I77/1000000</f>
        <v>0</v>
      </c>
      <c r="J69" s="174">
        <f>Założenia!I253*Założenia!I264*Założenia!$I77/1000000</f>
        <v>0</v>
      </c>
      <c r="K69" s="174">
        <f>Założenia!J253*Założenia!J264*Założenia!$I77/1000000</f>
        <v>0</v>
      </c>
      <c r="L69" s="174">
        <f>Założenia!K253*Założenia!K264*Założenia!$I77/1000000</f>
        <v>0</v>
      </c>
      <c r="M69" s="174">
        <f>Założenia!L253*Założenia!L264*Założenia!$I77/1000000</f>
        <v>0</v>
      </c>
      <c r="N69" s="174">
        <f>Założenia!M253*Założenia!M264*Założenia!$I77/1000000</f>
        <v>0</v>
      </c>
      <c r="O69" s="174">
        <f>Założenia!N253*Założenia!N264*Założenia!$I77/1000000</f>
        <v>0</v>
      </c>
      <c r="P69" s="174">
        <f>Założenia!O253*Założenia!O264*Założenia!$I77/1000000</f>
        <v>0</v>
      </c>
      <c r="Q69" s="174">
        <f>Założenia!P253*Założenia!P264*Założenia!$I77/1000000</f>
        <v>0</v>
      </c>
      <c r="R69" s="174">
        <f>Założenia!Q253*Założenia!Q264*Założenia!$I77/1000000</f>
        <v>0</v>
      </c>
      <c r="S69" s="174">
        <f>Założenia!R253*Założenia!R264*Założenia!$I77/1000000</f>
        <v>0</v>
      </c>
      <c r="T69" s="174">
        <f>Założenia!S253*Założenia!S264*Założenia!$I77/1000000</f>
        <v>0</v>
      </c>
      <c r="U69" s="13"/>
    </row>
    <row r="70" spans="1:21" s="1" customFormat="1" ht="12">
      <c r="A70" s="96"/>
      <c r="B70" s="110" t="s">
        <v>342</v>
      </c>
      <c r="C70" s="214" t="s">
        <v>218</v>
      </c>
      <c r="D70" s="300"/>
      <c r="E70" s="106">
        <v>0</v>
      </c>
      <c r="F70" s="106">
        <v>0</v>
      </c>
      <c r="G70" s="106">
        <v>0</v>
      </c>
      <c r="H70" s="106">
        <v>0</v>
      </c>
      <c r="I70" s="106">
        <v>0</v>
      </c>
      <c r="J70" s="106">
        <v>0</v>
      </c>
      <c r="K70" s="106">
        <v>0</v>
      </c>
      <c r="L70" s="106">
        <v>0</v>
      </c>
      <c r="M70" s="106">
        <v>0</v>
      </c>
      <c r="N70" s="106">
        <v>0</v>
      </c>
      <c r="O70" s="106">
        <v>0</v>
      </c>
      <c r="P70" s="106">
        <v>0</v>
      </c>
      <c r="Q70" s="106">
        <v>0</v>
      </c>
      <c r="R70" s="106">
        <v>0</v>
      </c>
      <c r="S70" s="106">
        <v>0</v>
      </c>
      <c r="T70" s="106">
        <v>0</v>
      </c>
    </row>
    <row r="71" spans="1:21" s="26" customFormat="1">
      <c r="A71" s="96" t="s">
        <v>50</v>
      </c>
      <c r="B71" s="112" t="s">
        <v>184</v>
      </c>
      <c r="C71" s="214" t="s">
        <v>219</v>
      </c>
      <c r="D71" s="214"/>
      <c r="E71" s="194">
        <f>E72+E80</f>
        <v>4.4564000000000006E-2</v>
      </c>
      <c r="F71" s="194">
        <f t="shared" ref="F71:T71" si="14">F72+F80</f>
        <v>4.4609382370617706E-2</v>
      </c>
      <c r="G71" s="194">
        <f t="shared" si="14"/>
        <v>4.4609382370617706E-2</v>
      </c>
      <c r="H71" s="194">
        <f t="shared" si="14"/>
        <v>4.4609382370617706E-2</v>
      </c>
      <c r="I71" s="194">
        <f t="shared" si="14"/>
        <v>4.4609382370617706E-2</v>
      </c>
      <c r="J71" s="194">
        <f t="shared" si="14"/>
        <v>4.4609382370617706E-2</v>
      </c>
      <c r="K71" s="194">
        <f t="shared" si="14"/>
        <v>4.4609382370617706E-2</v>
      </c>
      <c r="L71" s="194">
        <f t="shared" si="14"/>
        <v>4.446673000000001E-2</v>
      </c>
      <c r="M71" s="194">
        <f t="shared" si="14"/>
        <v>4.446673000000001E-2</v>
      </c>
      <c r="N71" s="194">
        <f t="shared" si="14"/>
        <v>4.446673000000001E-2</v>
      </c>
      <c r="O71" s="194">
        <f t="shared" si="14"/>
        <v>4.446673000000001E-2</v>
      </c>
      <c r="P71" s="194">
        <f t="shared" si="14"/>
        <v>4.446673000000001E-2</v>
      </c>
      <c r="Q71" s="194">
        <f t="shared" si="14"/>
        <v>4.446673000000001E-2</v>
      </c>
      <c r="R71" s="194">
        <f t="shared" si="14"/>
        <v>4.446673000000001E-2</v>
      </c>
      <c r="S71" s="194">
        <f t="shared" si="14"/>
        <v>4.446673000000001E-2</v>
      </c>
      <c r="T71" s="194">
        <f t="shared" si="14"/>
        <v>4.446673000000001E-2</v>
      </c>
      <c r="U71" s="13"/>
    </row>
    <row r="72" spans="1:21" s="26" customFormat="1">
      <c r="A72" s="96"/>
      <c r="B72" s="166" t="s">
        <v>343</v>
      </c>
      <c r="C72" s="214" t="s">
        <v>219</v>
      </c>
      <c r="D72" s="214"/>
      <c r="E72" s="174">
        <f>SUM(E73:E79)</f>
        <v>4.4564000000000006E-2</v>
      </c>
      <c r="F72" s="174">
        <f t="shared" ref="F72:T72" si="15">SUM(F73:F79)</f>
        <v>4.4609382370617706E-2</v>
      </c>
      <c r="G72" s="174">
        <f t="shared" si="15"/>
        <v>4.4609382370617706E-2</v>
      </c>
      <c r="H72" s="174">
        <f t="shared" si="15"/>
        <v>4.4609382370617706E-2</v>
      </c>
      <c r="I72" s="174">
        <f t="shared" si="15"/>
        <v>4.4609382370617706E-2</v>
      </c>
      <c r="J72" s="174">
        <f t="shared" si="15"/>
        <v>4.4609382370617706E-2</v>
      </c>
      <c r="K72" s="174">
        <f t="shared" si="15"/>
        <v>4.4609382370617706E-2</v>
      </c>
      <c r="L72" s="174">
        <f t="shared" si="15"/>
        <v>4.446673000000001E-2</v>
      </c>
      <c r="M72" s="174">
        <f t="shared" si="15"/>
        <v>4.446673000000001E-2</v>
      </c>
      <c r="N72" s="174">
        <f t="shared" si="15"/>
        <v>4.446673000000001E-2</v>
      </c>
      <c r="O72" s="174">
        <f t="shared" si="15"/>
        <v>4.446673000000001E-2</v>
      </c>
      <c r="P72" s="174">
        <f t="shared" si="15"/>
        <v>4.446673000000001E-2</v>
      </c>
      <c r="Q72" s="174">
        <f t="shared" si="15"/>
        <v>4.446673000000001E-2</v>
      </c>
      <c r="R72" s="174">
        <f t="shared" si="15"/>
        <v>4.446673000000001E-2</v>
      </c>
      <c r="S72" s="174">
        <f t="shared" si="15"/>
        <v>4.446673000000001E-2</v>
      </c>
      <c r="T72" s="174">
        <f t="shared" si="15"/>
        <v>4.446673000000001E-2</v>
      </c>
      <c r="U72" s="13"/>
    </row>
    <row r="73" spans="1:21" s="26" customFormat="1">
      <c r="A73" s="96"/>
      <c r="B73" s="109" t="s">
        <v>426</v>
      </c>
      <c r="C73" s="214" t="s">
        <v>219</v>
      </c>
      <c r="D73" s="214"/>
      <c r="E73" s="174">
        <f>Założenia!D247*Założenia!D263*Założenia!$G72/1000000</f>
        <v>0</v>
      </c>
      <c r="F73" s="174">
        <f>Założenia!E247*Założenia!E263*Założenia!$G72/1000000</f>
        <v>0</v>
      </c>
      <c r="G73" s="174">
        <f>Założenia!F247*Założenia!F263*Założenia!$G72/1000000</f>
        <v>0</v>
      </c>
      <c r="H73" s="174">
        <f>Założenia!G247*Założenia!G263*Założenia!$G72/1000000</f>
        <v>0</v>
      </c>
      <c r="I73" s="174">
        <f>Założenia!H247*Założenia!H263*Założenia!$G72/1000000</f>
        <v>0</v>
      </c>
      <c r="J73" s="174">
        <f>Założenia!I247*Założenia!I263*Założenia!$G72/1000000</f>
        <v>0</v>
      </c>
      <c r="K73" s="174">
        <f>Założenia!J247*Założenia!J263*Założenia!$G72/1000000</f>
        <v>0</v>
      </c>
      <c r="L73" s="174">
        <f>Założenia!K247*Założenia!K263*Założenia!$G72/1000000</f>
        <v>0</v>
      </c>
      <c r="M73" s="174">
        <f>Założenia!L247*Założenia!L263*Założenia!$G72/1000000</f>
        <v>0</v>
      </c>
      <c r="N73" s="174">
        <f>Założenia!M247*Założenia!M263*Założenia!$G72/1000000</f>
        <v>0</v>
      </c>
      <c r="O73" s="174">
        <f>Założenia!N247*Założenia!N263*Założenia!$G72/1000000</f>
        <v>0</v>
      </c>
      <c r="P73" s="174">
        <f>Założenia!O247*Założenia!O263*Założenia!$G72/1000000</f>
        <v>0</v>
      </c>
      <c r="Q73" s="174">
        <f>Założenia!P247*Założenia!P263*Założenia!$G72/1000000</f>
        <v>0</v>
      </c>
      <c r="R73" s="174">
        <f>Założenia!Q247*Założenia!Q263*Założenia!$G72/1000000</f>
        <v>0</v>
      </c>
      <c r="S73" s="174">
        <f>Założenia!R247*Założenia!R263*Założenia!$G72/1000000</f>
        <v>0</v>
      </c>
      <c r="T73" s="174">
        <f>Założenia!S247*Założenia!S263*Założenia!$G72/1000000</f>
        <v>0</v>
      </c>
      <c r="U73" s="13"/>
    </row>
    <row r="74" spans="1:21" s="32" customFormat="1" ht="12">
      <c r="A74" s="96"/>
      <c r="B74" s="109" t="s">
        <v>432</v>
      </c>
      <c r="C74" s="214" t="s">
        <v>219</v>
      </c>
      <c r="D74" s="214"/>
      <c r="E74" s="174">
        <f>Założenia!D248*Założenia!D263*Założenia!$G73/1000000</f>
        <v>0</v>
      </c>
      <c r="F74" s="174">
        <f>Założenia!E248*Założenia!E263*Założenia!$G73/1000000</f>
        <v>0</v>
      </c>
      <c r="G74" s="174">
        <f>Założenia!F248*Założenia!F263*Założenia!$G73/1000000</f>
        <v>0</v>
      </c>
      <c r="H74" s="174">
        <f>Założenia!G248*Założenia!G263*Założenia!$G73/1000000</f>
        <v>0</v>
      </c>
      <c r="I74" s="174">
        <f>Założenia!H248*Założenia!H263*Założenia!$G73/1000000</f>
        <v>0</v>
      </c>
      <c r="J74" s="174">
        <f>Założenia!I248*Założenia!I263*Założenia!$G73/1000000</f>
        <v>0</v>
      </c>
      <c r="K74" s="174">
        <f>Założenia!J248*Założenia!J263*Założenia!$G73/1000000</f>
        <v>0</v>
      </c>
      <c r="L74" s="174">
        <f>Założenia!K248*Założenia!K263*Założenia!$G73/1000000</f>
        <v>0</v>
      </c>
      <c r="M74" s="174">
        <f>Założenia!L248*Założenia!L263*Założenia!$G73/1000000</f>
        <v>0</v>
      </c>
      <c r="N74" s="174">
        <f>Założenia!M248*Założenia!M263*Założenia!$G73/1000000</f>
        <v>0</v>
      </c>
      <c r="O74" s="174">
        <f>Założenia!N248*Założenia!N263*Założenia!$G73/1000000</f>
        <v>0</v>
      </c>
      <c r="P74" s="174">
        <f>Założenia!O248*Założenia!O263*Założenia!$G73/1000000</f>
        <v>0</v>
      </c>
      <c r="Q74" s="174">
        <f>Założenia!P248*Założenia!P263*Założenia!$G73/1000000</f>
        <v>0</v>
      </c>
      <c r="R74" s="174">
        <f>Założenia!Q248*Założenia!Q263*Założenia!$G73/1000000</f>
        <v>0</v>
      </c>
      <c r="S74" s="174">
        <f>Założenia!R248*Założenia!R263*Założenia!$G73/1000000</f>
        <v>0</v>
      </c>
      <c r="T74" s="174">
        <f>Założenia!S248*Założenia!S263*Założenia!$G73/1000000</f>
        <v>0</v>
      </c>
      <c r="U74" s="13"/>
    </row>
    <row r="75" spans="1:21" s="32" customFormat="1" ht="12">
      <c r="A75" s="96"/>
      <c r="B75" s="109" t="s">
        <v>427</v>
      </c>
      <c r="C75" s="214" t="s">
        <v>219</v>
      </c>
      <c r="D75" s="214"/>
      <c r="E75" s="174">
        <f>Założenia!D249*Założenia!D263*Założenia!$G74/1000000</f>
        <v>0</v>
      </c>
      <c r="F75" s="174">
        <f>Założenia!E249*Założenia!E263*Założenia!$G74/1000000</f>
        <v>0</v>
      </c>
      <c r="G75" s="174">
        <f>Założenia!F249*Założenia!F263*Założenia!$G74/1000000</f>
        <v>0</v>
      </c>
      <c r="H75" s="174">
        <f>Założenia!G249*Założenia!G263*Założenia!$G74/1000000</f>
        <v>0</v>
      </c>
      <c r="I75" s="174">
        <f>Założenia!H249*Założenia!H263*Założenia!$G74/1000000</f>
        <v>0</v>
      </c>
      <c r="J75" s="174">
        <f>Założenia!I249*Założenia!I263*Założenia!$G74/1000000</f>
        <v>0</v>
      </c>
      <c r="K75" s="174">
        <f>Założenia!J249*Założenia!J263*Założenia!$G74/1000000</f>
        <v>0</v>
      </c>
      <c r="L75" s="174">
        <f>Założenia!K249*Założenia!K263*Założenia!$G74/1000000</f>
        <v>0</v>
      </c>
      <c r="M75" s="174">
        <f>Założenia!L249*Założenia!L263*Założenia!$G74/1000000</f>
        <v>0</v>
      </c>
      <c r="N75" s="174">
        <f>Założenia!M249*Założenia!M263*Założenia!$G74/1000000</f>
        <v>0</v>
      </c>
      <c r="O75" s="174">
        <f>Założenia!N249*Założenia!N263*Założenia!$G74/1000000</f>
        <v>0</v>
      </c>
      <c r="P75" s="174">
        <f>Założenia!O249*Założenia!O263*Założenia!$G74/1000000</f>
        <v>0</v>
      </c>
      <c r="Q75" s="174">
        <f>Założenia!P249*Założenia!P263*Założenia!$G74/1000000</f>
        <v>0</v>
      </c>
      <c r="R75" s="174">
        <f>Założenia!Q249*Założenia!Q263*Założenia!$G74/1000000</f>
        <v>0</v>
      </c>
      <c r="S75" s="174">
        <f>Założenia!R249*Założenia!R263*Założenia!$G74/1000000</f>
        <v>0</v>
      </c>
      <c r="T75" s="174">
        <f>Założenia!S249*Założenia!S263*Założenia!$G74/1000000</f>
        <v>0</v>
      </c>
      <c r="U75" s="13"/>
    </row>
    <row r="76" spans="1:21" s="32" customFormat="1" ht="12">
      <c r="A76" s="96"/>
      <c r="B76" s="109" t="s">
        <v>428</v>
      </c>
      <c r="C76" s="214" t="s">
        <v>219</v>
      </c>
      <c r="D76" s="214"/>
      <c r="E76" s="174">
        <f>Założenia!D250*Założenia!D263*Założenia!$G75/1000000</f>
        <v>0</v>
      </c>
      <c r="F76" s="174">
        <f>Założenia!E250*Założenia!E263*Założenia!$G75/1000000</f>
        <v>0</v>
      </c>
      <c r="G76" s="174">
        <f>Założenia!F250*Założenia!F263*Założenia!$G75/1000000</f>
        <v>0</v>
      </c>
      <c r="H76" s="174">
        <f>Założenia!G250*Założenia!G263*Założenia!$G75/1000000</f>
        <v>0</v>
      </c>
      <c r="I76" s="174">
        <f>Założenia!H250*Założenia!H263*Założenia!$G75/1000000</f>
        <v>0</v>
      </c>
      <c r="J76" s="174">
        <f>Założenia!I250*Założenia!I263*Założenia!$G75/1000000</f>
        <v>0</v>
      </c>
      <c r="K76" s="174">
        <f>Założenia!J250*Założenia!J263*Założenia!$G75/1000000</f>
        <v>0</v>
      </c>
      <c r="L76" s="174">
        <f>Założenia!K250*Założenia!K263*Założenia!$G75/1000000</f>
        <v>0</v>
      </c>
      <c r="M76" s="174">
        <f>Założenia!L250*Założenia!L263*Założenia!$G75/1000000</f>
        <v>0</v>
      </c>
      <c r="N76" s="174">
        <f>Założenia!M250*Założenia!M263*Założenia!$G75/1000000</f>
        <v>0</v>
      </c>
      <c r="O76" s="174">
        <f>Założenia!N250*Założenia!N263*Założenia!$G75/1000000</f>
        <v>0</v>
      </c>
      <c r="P76" s="174">
        <f>Założenia!O250*Założenia!O263*Założenia!$G75/1000000</f>
        <v>0</v>
      </c>
      <c r="Q76" s="174">
        <f>Założenia!P250*Założenia!P263*Założenia!$G75/1000000</f>
        <v>0</v>
      </c>
      <c r="R76" s="174">
        <f>Założenia!Q250*Założenia!Q263*Założenia!$G75/1000000</f>
        <v>0</v>
      </c>
      <c r="S76" s="174">
        <f>Założenia!R250*Założenia!R263*Założenia!$G75/1000000</f>
        <v>0</v>
      </c>
      <c r="T76" s="174">
        <f>Założenia!S250*Założenia!S263*Założenia!$G75/1000000</f>
        <v>0</v>
      </c>
      <c r="U76" s="13"/>
    </row>
    <row r="77" spans="1:21" s="32" customFormat="1" ht="12">
      <c r="A77" s="96"/>
      <c r="B77" s="109" t="s">
        <v>429</v>
      </c>
      <c r="C77" s="214" t="s">
        <v>219</v>
      </c>
      <c r="D77" s="214"/>
      <c r="E77" s="174">
        <f>Założenia!D251*Założenia!D263*Założenia!$G76/1000000</f>
        <v>0</v>
      </c>
      <c r="F77" s="174">
        <f>Założenia!E251*Założenia!E263*Założenia!$G76/1000000</f>
        <v>0</v>
      </c>
      <c r="G77" s="174">
        <f>Założenia!F251*Założenia!F263*Założenia!$G76/1000000</f>
        <v>0</v>
      </c>
      <c r="H77" s="174">
        <f>Założenia!G251*Założenia!G263*Założenia!$G76/1000000</f>
        <v>0</v>
      </c>
      <c r="I77" s="174">
        <f>Założenia!H251*Założenia!H263*Założenia!$G76/1000000</f>
        <v>0</v>
      </c>
      <c r="J77" s="174">
        <f>Założenia!I251*Założenia!I263*Założenia!$G76/1000000</f>
        <v>0</v>
      </c>
      <c r="K77" s="174">
        <f>Założenia!J251*Założenia!J263*Założenia!$G76/1000000</f>
        <v>0</v>
      </c>
      <c r="L77" s="174">
        <f>Założenia!K251*Założenia!K263*Założenia!$G76/1000000</f>
        <v>0</v>
      </c>
      <c r="M77" s="174">
        <f>Założenia!L251*Założenia!L263*Założenia!$G76/1000000</f>
        <v>0</v>
      </c>
      <c r="N77" s="174">
        <f>Założenia!M251*Założenia!M263*Założenia!$G76/1000000</f>
        <v>0</v>
      </c>
      <c r="O77" s="174">
        <f>Założenia!N251*Założenia!N263*Założenia!$G76/1000000</f>
        <v>0</v>
      </c>
      <c r="P77" s="174">
        <f>Założenia!O251*Założenia!O263*Założenia!$G76/1000000</f>
        <v>0</v>
      </c>
      <c r="Q77" s="174">
        <f>Założenia!P251*Założenia!P263*Założenia!$G76/1000000</f>
        <v>0</v>
      </c>
      <c r="R77" s="174">
        <f>Założenia!Q251*Założenia!Q263*Założenia!$G76/1000000</f>
        <v>0</v>
      </c>
      <c r="S77" s="174">
        <f>Założenia!R251*Założenia!R263*Założenia!$G76/1000000</f>
        <v>0</v>
      </c>
      <c r="T77" s="174">
        <f>Założenia!S251*Założenia!S263*Założenia!$G76/1000000</f>
        <v>0</v>
      </c>
      <c r="U77" s="13"/>
    </row>
    <row r="78" spans="1:21" s="32" customFormat="1" ht="12">
      <c r="A78" s="96"/>
      <c r="B78" s="109" t="s">
        <v>430</v>
      </c>
      <c r="C78" s="214" t="s">
        <v>219</v>
      </c>
      <c r="D78" s="214"/>
      <c r="E78" s="174">
        <f>Założenia!D252*Założenia!D263*Założenia!$G77/1000000+Założenia!D244*E46*Założenia!$G$68/1000000</f>
        <v>4.4564000000000006E-2</v>
      </c>
      <c r="F78" s="174">
        <f>Założenia!E252*Założenia!E263*Założenia!$G77/1000000+Założenia!E244*F46*Założenia!$G$68/1000000</f>
        <v>4.4609382370617706E-2</v>
      </c>
      <c r="G78" s="174">
        <f>Założenia!F252*Założenia!F263*Założenia!$G77/1000000+Założenia!F244*G46*Założenia!$G$68/1000000</f>
        <v>4.4609382370617706E-2</v>
      </c>
      <c r="H78" s="174">
        <f>Założenia!G252*Założenia!G263*Założenia!$G77/1000000+Założenia!G244*H46*Założenia!$G$68/1000000</f>
        <v>4.4609382370617706E-2</v>
      </c>
      <c r="I78" s="174">
        <f>Założenia!H252*Założenia!H263*Założenia!$G77/1000000+Założenia!H244*I46*Założenia!$G$68/1000000</f>
        <v>4.4609382370617706E-2</v>
      </c>
      <c r="J78" s="174">
        <f>Założenia!I252*Założenia!I263*Założenia!$G77/1000000+Założenia!I244*J46*Założenia!$G$68/1000000</f>
        <v>4.4609382370617706E-2</v>
      </c>
      <c r="K78" s="174">
        <f>Założenia!J252*Założenia!J263*Założenia!$G77/1000000+Założenia!J244*K46*Założenia!$G$68/1000000</f>
        <v>4.4609382370617706E-2</v>
      </c>
      <c r="L78" s="174">
        <f>Założenia!K252*Założenia!K263*Założenia!$G77/1000000+Założenia!K244*L46*Założenia!$G$68/1000000</f>
        <v>4.446673000000001E-2</v>
      </c>
      <c r="M78" s="174">
        <f>Założenia!L252*Założenia!L263*Założenia!$G77/1000000+Założenia!L244*M46*Założenia!$G$68/1000000</f>
        <v>4.446673000000001E-2</v>
      </c>
      <c r="N78" s="174">
        <f>Założenia!M252*Założenia!M263*Założenia!$G77/1000000+Założenia!M244*N46*Założenia!$G$68/1000000</f>
        <v>4.446673000000001E-2</v>
      </c>
      <c r="O78" s="174">
        <f>Założenia!N252*Założenia!N263*Założenia!$G77/1000000+Założenia!N244*O46*Założenia!$G$68/1000000</f>
        <v>4.446673000000001E-2</v>
      </c>
      <c r="P78" s="174">
        <f>Założenia!O252*Założenia!O263*Założenia!$G77/1000000+Założenia!O244*P46*Założenia!$G$68/1000000</f>
        <v>4.446673000000001E-2</v>
      </c>
      <c r="Q78" s="174">
        <f>Założenia!P252*Założenia!P263*Założenia!$G77/1000000+Założenia!P244*Q46*Założenia!$G$68/1000000</f>
        <v>4.446673000000001E-2</v>
      </c>
      <c r="R78" s="174">
        <f>Założenia!Q252*Założenia!Q263*Założenia!$G77/1000000+Założenia!Q244*R46*Założenia!$G$68/1000000</f>
        <v>4.446673000000001E-2</v>
      </c>
      <c r="S78" s="174">
        <f>Założenia!R252*Założenia!R263*Założenia!$G77/1000000+Założenia!R244*S46*Założenia!$G$68/1000000</f>
        <v>4.446673000000001E-2</v>
      </c>
      <c r="T78" s="174">
        <f>Założenia!S252*Założenia!S263*Założenia!$G77/1000000+Założenia!S244*T46*Założenia!$G$68/1000000</f>
        <v>4.446673000000001E-2</v>
      </c>
      <c r="U78" s="13"/>
    </row>
    <row r="79" spans="1:21" s="32" customFormat="1" ht="12">
      <c r="A79" s="96"/>
      <c r="B79" s="109" t="s">
        <v>431</v>
      </c>
      <c r="C79" s="214" t="s">
        <v>219</v>
      </c>
      <c r="D79" s="214"/>
      <c r="E79" s="174">
        <f>Założenia!D253*Założenia!D264*Założenia!$J77/1000000</f>
        <v>0</v>
      </c>
      <c r="F79" s="174">
        <f>Założenia!E253*Założenia!E264*Założenia!$J77/1000000</f>
        <v>0</v>
      </c>
      <c r="G79" s="174">
        <f>Założenia!F253*Założenia!F264*Założenia!$J77/1000000</f>
        <v>0</v>
      </c>
      <c r="H79" s="174">
        <f>Założenia!G253*Założenia!G264*Założenia!$J77/1000000</f>
        <v>0</v>
      </c>
      <c r="I79" s="174">
        <f>Założenia!H253*Założenia!H264*Założenia!$J77/1000000</f>
        <v>0</v>
      </c>
      <c r="J79" s="174">
        <f>Założenia!I253*Założenia!I264*Założenia!$J77/1000000</f>
        <v>0</v>
      </c>
      <c r="K79" s="174">
        <f>Założenia!J253*Założenia!J264*Założenia!$J77/1000000</f>
        <v>0</v>
      </c>
      <c r="L79" s="174">
        <f>Założenia!K253*Założenia!K264*Założenia!$J77/1000000</f>
        <v>0</v>
      </c>
      <c r="M79" s="174">
        <f>Założenia!L253*Założenia!L264*Założenia!$J77/1000000</f>
        <v>0</v>
      </c>
      <c r="N79" s="174">
        <f>Założenia!M253*Założenia!M264*Założenia!$J77/1000000</f>
        <v>0</v>
      </c>
      <c r="O79" s="174">
        <f>Założenia!N253*Założenia!N264*Założenia!$J77/1000000</f>
        <v>0</v>
      </c>
      <c r="P79" s="174">
        <f>Założenia!O253*Założenia!O264*Założenia!$J77/1000000</f>
        <v>0</v>
      </c>
      <c r="Q79" s="174">
        <f>Założenia!P253*Założenia!P264*Założenia!$J77/1000000</f>
        <v>0</v>
      </c>
      <c r="R79" s="174">
        <f>Założenia!Q253*Założenia!Q264*Założenia!$J77/1000000</f>
        <v>0</v>
      </c>
      <c r="S79" s="174">
        <f>Założenia!R253*Założenia!R264*Założenia!$J77/1000000</f>
        <v>0</v>
      </c>
      <c r="T79" s="174">
        <f>Założenia!S253*Założenia!S264*Założenia!$J77/1000000</f>
        <v>0</v>
      </c>
      <c r="U79" s="13"/>
    </row>
    <row r="80" spans="1:21" s="1" customFormat="1" ht="12">
      <c r="A80" s="96"/>
      <c r="B80" s="110" t="s">
        <v>342</v>
      </c>
      <c r="C80" s="214" t="s">
        <v>219</v>
      </c>
      <c r="D80" s="300"/>
      <c r="E80" s="106">
        <v>0</v>
      </c>
      <c r="F80" s="106">
        <v>0</v>
      </c>
      <c r="G80" s="106">
        <v>0</v>
      </c>
      <c r="H80" s="106">
        <v>0</v>
      </c>
      <c r="I80" s="106">
        <v>0</v>
      </c>
      <c r="J80" s="106">
        <v>0</v>
      </c>
      <c r="K80" s="106">
        <v>0</v>
      </c>
      <c r="L80" s="106">
        <v>0</v>
      </c>
      <c r="M80" s="106">
        <v>0</v>
      </c>
      <c r="N80" s="106">
        <v>0</v>
      </c>
      <c r="O80" s="106">
        <v>0</v>
      </c>
      <c r="P80" s="106">
        <v>0</v>
      </c>
      <c r="Q80" s="106">
        <v>0</v>
      </c>
      <c r="R80" s="106">
        <v>0</v>
      </c>
      <c r="S80" s="106">
        <v>0</v>
      </c>
      <c r="T80" s="106">
        <v>0</v>
      </c>
    </row>
    <row r="81" spans="1:21" s="26" customFormat="1">
      <c r="A81" s="96" t="s">
        <v>61</v>
      </c>
      <c r="B81" s="112" t="s">
        <v>186</v>
      </c>
      <c r="C81" s="214" t="s">
        <v>246</v>
      </c>
      <c r="D81" s="214"/>
      <c r="E81" s="194">
        <f>E82+E90</f>
        <v>0.57933199999999996</v>
      </c>
      <c r="F81" s="194">
        <f t="shared" ref="F81:T81" si="16">F82+F90</f>
        <v>0.5799219708180301</v>
      </c>
      <c r="G81" s="194">
        <f t="shared" si="16"/>
        <v>0.5799219708180301</v>
      </c>
      <c r="H81" s="194">
        <f t="shared" si="16"/>
        <v>0.5799219708180301</v>
      </c>
      <c r="I81" s="194">
        <f t="shared" si="16"/>
        <v>0.5799219708180301</v>
      </c>
      <c r="J81" s="194">
        <f t="shared" si="16"/>
        <v>0.5799219708180301</v>
      </c>
      <c r="K81" s="194">
        <f t="shared" si="16"/>
        <v>0.5799219708180301</v>
      </c>
      <c r="L81" s="194">
        <f t="shared" si="16"/>
        <v>0.57806749000000002</v>
      </c>
      <c r="M81" s="194">
        <f t="shared" si="16"/>
        <v>0.57806749000000002</v>
      </c>
      <c r="N81" s="194">
        <f t="shared" si="16"/>
        <v>0.57806749000000002</v>
      </c>
      <c r="O81" s="194">
        <f t="shared" si="16"/>
        <v>0.57806749000000002</v>
      </c>
      <c r="P81" s="194">
        <f t="shared" si="16"/>
        <v>0.57806749000000002</v>
      </c>
      <c r="Q81" s="194">
        <f t="shared" si="16"/>
        <v>0.57806749000000002</v>
      </c>
      <c r="R81" s="194">
        <f t="shared" si="16"/>
        <v>0.57806749000000002</v>
      </c>
      <c r="S81" s="194">
        <f t="shared" si="16"/>
        <v>0.57806749000000002</v>
      </c>
      <c r="T81" s="194">
        <f t="shared" si="16"/>
        <v>0.57806749000000002</v>
      </c>
      <c r="U81" s="13"/>
    </row>
    <row r="82" spans="1:21" s="26" customFormat="1">
      <c r="A82" s="96"/>
      <c r="B82" s="166" t="s">
        <v>343</v>
      </c>
      <c r="C82" s="214" t="s">
        <v>246</v>
      </c>
      <c r="D82" s="214"/>
      <c r="E82" s="194">
        <f>SUM(E83:E89)</f>
        <v>0.57933199999999996</v>
      </c>
      <c r="F82" s="194">
        <f t="shared" ref="F82:T82" si="17">SUM(F83:F89)</f>
        <v>0.5799219708180301</v>
      </c>
      <c r="G82" s="194">
        <f t="shared" si="17"/>
        <v>0.5799219708180301</v>
      </c>
      <c r="H82" s="194">
        <f t="shared" si="17"/>
        <v>0.5799219708180301</v>
      </c>
      <c r="I82" s="194">
        <f t="shared" si="17"/>
        <v>0.5799219708180301</v>
      </c>
      <c r="J82" s="194">
        <f t="shared" si="17"/>
        <v>0.5799219708180301</v>
      </c>
      <c r="K82" s="194">
        <f t="shared" si="17"/>
        <v>0.5799219708180301</v>
      </c>
      <c r="L82" s="194">
        <f t="shared" si="17"/>
        <v>0.57806749000000002</v>
      </c>
      <c r="M82" s="194">
        <f t="shared" si="17"/>
        <v>0.57806749000000002</v>
      </c>
      <c r="N82" s="194">
        <f t="shared" si="17"/>
        <v>0.57806749000000002</v>
      </c>
      <c r="O82" s="194">
        <f t="shared" si="17"/>
        <v>0.57806749000000002</v>
      </c>
      <c r="P82" s="194">
        <f t="shared" si="17"/>
        <v>0.57806749000000002</v>
      </c>
      <c r="Q82" s="194">
        <f t="shared" si="17"/>
        <v>0.57806749000000002</v>
      </c>
      <c r="R82" s="194">
        <f t="shared" si="17"/>
        <v>0.57806749000000002</v>
      </c>
      <c r="S82" s="194">
        <f t="shared" si="17"/>
        <v>0.57806749000000002</v>
      </c>
      <c r="T82" s="194">
        <f t="shared" si="17"/>
        <v>0.57806749000000002</v>
      </c>
      <c r="U82" s="13"/>
    </row>
    <row r="83" spans="1:21" s="26" customFormat="1">
      <c r="A83" s="96"/>
      <c r="B83" s="109" t="s">
        <v>426</v>
      </c>
      <c r="C83" s="214" t="s">
        <v>246</v>
      </c>
      <c r="D83" s="214"/>
      <c r="E83" s="174">
        <f>Założenia!D247*Założenia!D263*Założenia!$E72/1000000</f>
        <v>0</v>
      </c>
      <c r="F83" s="174">
        <f>Założenia!E247*Założenia!E263*Założenia!$E72/1000000</f>
        <v>0</v>
      </c>
      <c r="G83" s="174">
        <f>Założenia!F247*Założenia!F263*Założenia!$E72/1000000</f>
        <v>0</v>
      </c>
      <c r="H83" s="174">
        <f>Założenia!G247*Założenia!G263*Założenia!$E72/1000000</f>
        <v>0</v>
      </c>
      <c r="I83" s="174">
        <f>Założenia!H247*Założenia!H263*Założenia!$E72/1000000</f>
        <v>0</v>
      </c>
      <c r="J83" s="174">
        <f>Założenia!I247*Założenia!I263*Założenia!$E72/1000000</f>
        <v>0</v>
      </c>
      <c r="K83" s="174">
        <f>Założenia!J247*Założenia!J263*Założenia!$E72/1000000</f>
        <v>0</v>
      </c>
      <c r="L83" s="174">
        <f>Założenia!K247*Założenia!K263*Założenia!$E72/1000000</f>
        <v>0</v>
      </c>
      <c r="M83" s="174">
        <f>Założenia!L247*Założenia!L263*Założenia!$E72/1000000</f>
        <v>0</v>
      </c>
      <c r="N83" s="174">
        <f>Założenia!M247*Założenia!M263*Założenia!$E72/1000000</f>
        <v>0</v>
      </c>
      <c r="O83" s="174">
        <f>Założenia!N247*Założenia!N263*Założenia!$E72/1000000</f>
        <v>0</v>
      </c>
      <c r="P83" s="174">
        <f>Założenia!O247*Założenia!O263*Założenia!$E72/1000000</f>
        <v>0</v>
      </c>
      <c r="Q83" s="174">
        <f>Założenia!P247*Założenia!P263*Założenia!$E72/1000000</f>
        <v>0</v>
      </c>
      <c r="R83" s="174">
        <f>Założenia!Q247*Założenia!Q263*Założenia!$E72/1000000</f>
        <v>0</v>
      </c>
      <c r="S83" s="174">
        <f>Założenia!R247*Założenia!R263*Założenia!$E72/1000000</f>
        <v>0</v>
      </c>
      <c r="T83" s="174">
        <f>Założenia!S247*Założenia!S263*Założenia!$E72/1000000</f>
        <v>0</v>
      </c>
      <c r="U83" s="13"/>
    </row>
    <row r="84" spans="1:21" s="32" customFormat="1" ht="12">
      <c r="A84" s="96"/>
      <c r="B84" s="109" t="s">
        <v>432</v>
      </c>
      <c r="C84" s="214" t="s">
        <v>246</v>
      </c>
      <c r="D84" s="214"/>
      <c r="E84" s="174">
        <f>Założenia!D248*Założenia!D263*Założenia!$E73/1000000</f>
        <v>0</v>
      </c>
      <c r="F84" s="174">
        <f>Założenia!E248*Założenia!E263*Założenia!$E73/1000000</f>
        <v>0</v>
      </c>
      <c r="G84" s="174">
        <f>Założenia!F248*Założenia!F263*Założenia!$E73/1000000</f>
        <v>0</v>
      </c>
      <c r="H84" s="174">
        <f>Założenia!G248*Założenia!G263*Założenia!$E73/1000000</f>
        <v>0</v>
      </c>
      <c r="I84" s="174">
        <f>Założenia!H248*Założenia!H263*Założenia!$E73/1000000</f>
        <v>0</v>
      </c>
      <c r="J84" s="174">
        <f>Założenia!I248*Założenia!I263*Założenia!$E73/1000000</f>
        <v>0</v>
      </c>
      <c r="K84" s="174">
        <f>Założenia!J248*Założenia!J263*Założenia!$E73/1000000</f>
        <v>0</v>
      </c>
      <c r="L84" s="174">
        <f>Założenia!K248*Założenia!K263*Założenia!$E73/1000000</f>
        <v>0</v>
      </c>
      <c r="M84" s="174">
        <f>Założenia!L248*Założenia!L263*Założenia!$E73/1000000</f>
        <v>0</v>
      </c>
      <c r="N84" s="174">
        <f>Założenia!M248*Założenia!M263*Założenia!$E73/1000000</f>
        <v>0</v>
      </c>
      <c r="O84" s="174">
        <f>Założenia!N248*Założenia!N263*Założenia!$E73/1000000</f>
        <v>0</v>
      </c>
      <c r="P84" s="174">
        <f>Założenia!O248*Założenia!O263*Założenia!$E73/1000000</f>
        <v>0</v>
      </c>
      <c r="Q84" s="174">
        <f>Założenia!P248*Założenia!P263*Założenia!$E73/1000000</f>
        <v>0</v>
      </c>
      <c r="R84" s="174">
        <f>Założenia!Q248*Założenia!Q263*Założenia!$E73/1000000</f>
        <v>0</v>
      </c>
      <c r="S84" s="174">
        <f>Założenia!R248*Założenia!R263*Założenia!$E73/1000000</f>
        <v>0</v>
      </c>
      <c r="T84" s="174">
        <f>Założenia!S248*Założenia!S263*Założenia!$E73/1000000</f>
        <v>0</v>
      </c>
      <c r="U84" s="13"/>
    </row>
    <row r="85" spans="1:21" s="32" customFormat="1" ht="12">
      <c r="A85" s="96"/>
      <c r="B85" s="109" t="s">
        <v>427</v>
      </c>
      <c r="C85" s="214" t="s">
        <v>246</v>
      </c>
      <c r="D85" s="214"/>
      <c r="E85" s="174">
        <f>Założenia!D249*Założenia!D263*Założenia!$E74/1000000</f>
        <v>0</v>
      </c>
      <c r="F85" s="174">
        <f>Założenia!E249*Założenia!E263*Założenia!$E74/1000000</f>
        <v>0</v>
      </c>
      <c r="G85" s="174">
        <f>Założenia!F249*Założenia!F263*Założenia!$E74/1000000</f>
        <v>0</v>
      </c>
      <c r="H85" s="174">
        <f>Założenia!G249*Założenia!G263*Założenia!$E74/1000000</f>
        <v>0</v>
      </c>
      <c r="I85" s="174">
        <f>Założenia!H249*Założenia!H263*Założenia!$E74/1000000</f>
        <v>0</v>
      </c>
      <c r="J85" s="174">
        <f>Założenia!I249*Założenia!I263*Założenia!$E74/1000000</f>
        <v>0</v>
      </c>
      <c r="K85" s="174">
        <f>Założenia!J249*Założenia!J263*Założenia!$E74/1000000</f>
        <v>0</v>
      </c>
      <c r="L85" s="174">
        <f>Założenia!K249*Założenia!K263*Założenia!$E74/1000000</f>
        <v>0</v>
      </c>
      <c r="M85" s="174">
        <f>Założenia!L249*Założenia!L263*Założenia!$E74/1000000</f>
        <v>0</v>
      </c>
      <c r="N85" s="174">
        <f>Założenia!M249*Założenia!M263*Założenia!$E74/1000000</f>
        <v>0</v>
      </c>
      <c r="O85" s="174">
        <f>Założenia!N249*Założenia!N263*Założenia!$E74/1000000</f>
        <v>0</v>
      </c>
      <c r="P85" s="174">
        <f>Założenia!O249*Założenia!O263*Założenia!$E74/1000000</f>
        <v>0</v>
      </c>
      <c r="Q85" s="174">
        <f>Założenia!P249*Założenia!P263*Założenia!$E74/1000000</f>
        <v>0</v>
      </c>
      <c r="R85" s="174">
        <f>Założenia!Q249*Założenia!Q263*Założenia!$E74/1000000</f>
        <v>0</v>
      </c>
      <c r="S85" s="174">
        <f>Założenia!R249*Założenia!R263*Założenia!$E74/1000000</f>
        <v>0</v>
      </c>
      <c r="T85" s="174">
        <f>Założenia!S249*Założenia!S263*Założenia!$E74/1000000</f>
        <v>0</v>
      </c>
      <c r="U85" s="13"/>
    </row>
    <row r="86" spans="1:21" s="32" customFormat="1" ht="12">
      <c r="A86" s="96"/>
      <c r="B86" s="109" t="s">
        <v>428</v>
      </c>
      <c r="C86" s="214" t="s">
        <v>246</v>
      </c>
      <c r="D86" s="214"/>
      <c r="E86" s="174">
        <f>Założenia!D250*Założenia!D263*Założenia!$E75/1000000</f>
        <v>0</v>
      </c>
      <c r="F86" s="174">
        <f>Założenia!E250*Założenia!E263*Założenia!$E75/1000000</f>
        <v>0</v>
      </c>
      <c r="G86" s="174">
        <f>Założenia!F250*Założenia!F263*Założenia!$E75/1000000</f>
        <v>0</v>
      </c>
      <c r="H86" s="174">
        <f>Założenia!G250*Założenia!G263*Założenia!$E75/1000000</f>
        <v>0</v>
      </c>
      <c r="I86" s="174">
        <f>Założenia!H250*Założenia!H263*Założenia!$E75/1000000</f>
        <v>0</v>
      </c>
      <c r="J86" s="174">
        <f>Założenia!I250*Założenia!I263*Założenia!$E75/1000000</f>
        <v>0</v>
      </c>
      <c r="K86" s="174">
        <f>Założenia!J250*Założenia!J263*Założenia!$E75/1000000</f>
        <v>0</v>
      </c>
      <c r="L86" s="174">
        <f>Założenia!K250*Założenia!K263*Założenia!$E75/1000000</f>
        <v>0</v>
      </c>
      <c r="M86" s="174">
        <f>Założenia!L250*Założenia!L263*Założenia!$E75/1000000</f>
        <v>0</v>
      </c>
      <c r="N86" s="174">
        <f>Założenia!M250*Założenia!M263*Założenia!$E75/1000000</f>
        <v>0</v>
      </c>
      <c r="O86" s="174">
        <f>Założenia!N250*Założenia!N263*Założenia!$E75/1000000</f>
        <v>0</v>
      </c>
      <c r="P86" s="174">
        <f>Założenia!O250*Założenia!O263*Założenia!$E75/1000000</f>
        <v>0</v>
      </c>
      <c r="Q86" s="174">
        <f>Założenia!P250*Założenia!P263*Założenia!$E75/1000000</f>
        <v>0</v>
      </c>
      <c r="R86" s="174">
        <f>Założenia!Q250*Założenia!Q263*Założenia!$E75/1000000</f>
        <v>0</v>
      </c>
      <c r="S86" s="174">
        <f>Założenia!R250*Założenia!R263*Założenia!$E75/1000000</f>
        <v>0</v>
      </c>
      <c r="T86" s="174">
        <f>Założenia!S250*Założenia!S263*Założenia!$E75/1000000</f>
        <v>0</v>
      </c>
      <c r="U86" s="13"/>
    </row>
    <row r="87" spans="1:21" s="32" customFormat="1" ht="12">
      <c r="A87" s="96"/>
      <c r="B87" s="109" t="s">
        <v>429</v>
      </c>
      <c r="C87" s="214" t="s">
        <v>246</v>
      </c>
      <c r="D87" s="214"/>
      <c r="E87" s="174">
        <f>Założenia!D251*Założenia!D263*Założenia!$E76/1000000</f>
        <v>0</v>
      </c>
      <c r="F87" s="174">
        <f>Założenia!E251*Założenia!E263*Założenia!$E76/1000000</f>
        <v>0</v>
      </c>
      <c r="G87" s="174">
        <f>Założenia!F251*Założenia!F263*Założenia!$E76/1000000</f>
        <v>0</v>
      </c>
      <c r="H87" s="174">
        <f>Założenia!G251*Założenia!G263*Założenia!$E76/1000000</f>
        <v>0</v>
      </c>
      <c r="I87" s="174">
        <f>Założenia!H251*Założenia!H263*Założenia!$E76/1000000</f>
        <v>0</v>
      </c>
      <c r="J87" s="174">
        <f>Założenia!I251*Założenia!I263*Założenia!$E76/1000000</f>
        <v>0</v>
      </c>
      <c r="K87" s="174">
        <f>Założenia!J251*Założenia!J263*Założenia!$E76/1000000</f>
        <v>0</v>
      </c>
      <c r="L87" s="174">
        <f>Założenia!K251*Założenia!K263*Założenia!$E76/1000000</f>
        <v>0</v>
      </c>
      <c r="M87" s="174">
        <f>Założenia!L251*Założenia!L263*Założenia!$E76/1000000</f>
        <v>0</v>
      </c>
      <c r="N87" s="174">
        <f>Założenia!M251*Założenia!M263*Założenia!$E76/1000000</f>
        <v>0</v>
      </c>
      <c r="O87" s="174">
        <f>Założenia!N251*Założenia!N263*Założenia!$E76/1000000</f>
        <v>0</v>
      </c>
      <c r="P87" s="174">
        <f>Założenia!O251*Założenia!O263*Założenia!$E76/1000000</f>
        <v>0</v>
      </c>
      <c r="Q87" s="174">
        <f>Założenia!P251*Założenia!P263*Założenia!$E76/1000000</f>
        <v>0</v>
      </c>
      <c r="R87" s="174">
        <f>Założenia!Q251*Założenia!Q263*Założenia!$E76/1000000</f>
        <v>0</v>
      </c>
      <c r="S87" s="174">
        <f>Założenia!R251*Założenia!R263*Założenia!$E76/1000000</f>
        <v>0</v>
      </c>
      <c r="T87" s="174">
        <f>Założenia!S251*Założenia!S263*Założenia!$E76/1000000</f>
        <v>0</v>
      </c>
      <c r="U87" s="13"/>
    </row>
    <row r="88" spans="1:21" s="32" customFormat="1" ht="12">
      <c r="A88" s="96"/>
      <c r="B88" s="109" t="s">
        <v>430</v>
      </c>
      <c r="C88" s="214" t="s">
        <v>246</v>
      </c>
      <c r="D88" s="214"/>
      <c r="E88" s="174">
        <f>Założenia!D252*Założenia!D263*Założenia!$E77/1000000+Założenia!D244*E46*Założenia!$E$68/1000000</f>
        <v>0.57933199999999996</v>
      </c>
      <c r="F88" s="174">
        <f>Założenia!E252*Założenia!E263*Założenia!$E77/1000000+Założenia!E244*F46*Założenia!$E$68/1000000</f>
        <v>0.5799219708180301</v>
      </c>
      <c r="G88" s="174">
        <f>Założenia!F252*Założenia!F263*Założenia!$E77/1000000+Założenia!F244*G46*Założenia!$E$68/1000000</f>
        <v>0.5799219708180301</v>
      </c>
      <c r="H88" s="174">
        <f>Założenia!G252*Założenia!G263*Założenia!$E77/1000000+Założenia!G244*H46*Założenia!$E$68/1000000</f>
        <v>0.5799219708180301</v>
      </c>
      <c r="I88" s="174">
        <f>Założenia!H252*Założenia!H263*Założenia!$E77/1000000+Założenia!H244*I46*Założenia!$E$68/1000000</f>
        <v>0.5799219708180301</v>
      </c>
      <c r="J88" s="174">
        <f>Założenia!I252*Założenia!I263*Założenia!$E77/1000000+Założenia!I244*J46*Założenia!$E$68/1000000</f>
        <v>0.5799219708180301</v>
      </c>
      <c r="K88" s="174">
        <f>Założenia!J252*Założenia!J263*Założenia!$E77/1000000+Założenia!J244*K46*Założenia!$E$68/1000000</f>
        <v>0.5799219708180301</v>
      </c>
      <c r="L88" s="174">
        <f>Założenia!K252*Założenia!K263*Założenia!$E77/1000000+Założenia!K244*L46*Założenia!$E$68/1000000</f>
        <v>0.57806749000000002</v>
      </c>
      <c r="M88" s="174">
        <f>Założenia!L252*Założenia!L263*Założenia!$E77/1000000+Założenia!L244*M46*Założenia!$E$68/1000000</f>
        <v>0.57806749000000002</v>
      </c>
      <c r="N88" s="174">
        <f>Założenia!M252*Założenia!M263*Założenia!$E77/1000000+Założenia!M244*N46*Założenia!$E$68/1000000</f>
        <v>0.57806749000000002</v>
      </c>
      <c r="O88" s="174">
        <f>Założenia!N252*Założenia!N263*Założenia!$E77/1000000+Założenia!N244*O46*Założenia!$E$68/1000000</f>
        <v>0.57806749000000002</v>
      </c>
      <c r="P88" s="174">
        <f>Założenia!O252*Założenia!O263*Założenia!$E77/1000000+Założenia!O244*P46*Założenia!$E$68/1000000</f>
        <v>0.57806749000000002</v>
      </c>
      <c r="Q88" s="174">
        <f>Założenia!P252*Założenia!P263*Założenia!$E77/1000000+Założenia!P244*Q46*Założenia!$E$68/1000000</f>
        <v>0.57806749000000002</v>
      </c>
      <c r="R88" s="174">
        <f>Założenia!Q252*Założenia!Q263*Założenia!$E77/1000000+Założenia!Q244*R46*Założenia!$E$68/1000000</f>
        <v>0.57806749000000002</v>
      </c>
      <c r="S88" s="174">
        <f>Założenia!R252*Założenia!R263*Założenia!$E77/1000000+Założenia!R244*S46*Założenia!$E$68/1000000</f>
        <v>0.57806749000000002</v>
      </c>
      <c r="T88" s="174">
        <f>Założenia!S252*Założenia!S263*Założenia!$E77/1000000+Założenia!S244*T46*Założenia!$E$68/1000000</f>
        <v>0.57806749000000002</v>
      </c>
      <c r="U88" s="13"/>
    </row>
    <row r="89" spans="1:21" s="32" customFormat="1" ht="12">
      <c r="A89" s="96"/>
      <c r="B89" s="109" t="s">
        <v>431</v>
      </c>
      <c r="C89" s="214" t="s">
        <v>246</v>
      </c>
      <c r="D89" s="214"/>
      <c r="E89" s="174">
        <f>Założenia!D253*Założenia!D264*Założenia!$H77/1000000</f>
        <v>0</v>
      </c>
      <c r="F89" s="174">
        <f>Założenia!E253*Założenia!E264*Założenia!$H77/1000000</f>
        <v>0</v>
      </c>
      <c r="G89" s="174">
        <f>Założenia!F253*Założenia!F264*Założenia!$H77/1000000</f>
        <v>0</v>
      </c>
      <c r="H89" s="174">
        <f>Założenia!G253*Założenia!G264*Założenia!$H77/1000000</f>
        <v>0</v>
      </c>
      <c r="I89" s="174">
        <f>Założenia!H253*Założenia!H264*Założenia!$H77/1000000</f>
        <v>0</v>
      </c>
      <c r="J89" s="174">
        <f>Założenia!I253*Założenia!I264*Założenia!$H77/1000000</f>
        <v>0</v>
      </c>
      <c r="K89" s="174">
        <f>Założenia!J253*Założenia!J264*Założenia!$H77/1000000</f>
        <v>0</v>
      </c>
      <c r="L89" s="174">
        <f>Założenia!K253*Założenia!K264*Założenia!$H77/1000000</f>
        <v>0</v>
      </c>
      <c r="M89" s="174">
        <f>Założenia!L253*Założenia!L264*Założenia!$H77/1000000</f>
        <v>0</v>
      </c>
      <c r="N89" s="174">
        <f>Założenia!M253*Założenia!M264*Założenia!$H77/1000000</f>
        <v>0</v>
      </c>
      <c r="O89" s="174">
        <f>Założenia!N253*Założenia!N264*Założenia!$H77/1000000</f>
        <v>0</v>
      </c>
      <c r="P89" s="174">
        <f>Założenia!O253*Założenia!O264*Założenia!$H77/1000000</f>
        <v>0</v>
      </c>
      <c r="Q89" s="174">
        <f>Założenia!P253*Założenia!P264*Założenia!$H77/1000000</f>
        <v>0</v>
      </c>
      <c r="R89" s="174">
        <f>Założenia!Q253*Założenia!Q264*Założenia!$H77/1000000</f>
        <v>0</v>
      </c>
      <c r="S89" s="174">
        <f>Założenia!R253*Założenia!R264*Założenia!$H77/1000000</f>
        <v>0</v>
      </c>
      <c r="T89" s="174">
        <f>Założenia!S253*Założenia!S264*Założenia!$H77/1000000</f>
        <v>0</v>
      </c>
      <c r="U89" s="13"/>
    </row>
    <row r="90" spans="1:21" s="1" customFormat="1" ht="12">
      <c r="A90" s="96"/>
      <c r="B90" s="110" t="s">
        <v>342</v>
      </c>
      <c r="C90" s="214" t="s">
        <v>246</v>
      </c>
      <c r="D90" s="300"/>
      <c r="E90" s="106">
        <v>0</v>
      </c>
      <c r="F90" s="106">
        <v>0</v>
      </c>
      <c r="G90" s="106">
        <v>0</v>
      </c>
      <c r="H90" s="106">
        <v>0</v>
      </c>
      <c r="I90" s="106">
        <v>0</v>
      </c>
      <c r="J90" s="106">
        <v>0</v>
      </c>
      <c r="K90" s="106">
        <v>0</v>
      </c>
      <c r="L90" s="106">
        <v>0</v>
      </c>
      <c r="M90" s="106">
        <v>0</v>
      </c>
      <c r="N90" s="106">
        <v>0</v>
      </c>
      <c r="O90" s="106">
        <v>0</v>
      </c>
      <c r="P90" s="106">
        <v>0</v>
      </c>
      <c r="Q90" s="106">
        <v>0</v>
      </c>
      <c r="R90" s="106">
        <v>0</v>
      </c>
      <c r="S90" s="106">
        <v>0</v>
      </c>
      <c r="T90" s="106">
        <v>0</v>
      </c>
    </row>
    <row r="91" spans="1:21" s="26" customFormat="1">
      <c r="A91" s="108" t="s">
        <v>30</v>
      </c>
      <c r="B91" s="166" t="s">
        <v>161</v>
      </c>
      <c r="C91" s="214" t="s">
        <v>0</v>
      </c>
      <c r="D91" s="301"/>
      <c r="E91" s="107">
        <f>E95+E99+E107+E103</f>
        <v>747171.99006582634</v>
      </c>
      <c r="F91" s="107">
        <f t="shared" ref="F91:T91" si="18">F95+F99+F107+F103</f>
        <v>778364.55973922322</v>
      </c>
      <c r="G91" s="107">
        <f t="shared" si="18"/>
        <v>808258.0992900593</v>
      </c>
      <c r="H91" s="107">
        <f t="shared" si="18"/>
        <v>833576.57780690002</v>
      </c>
      <c r="I91" s="107">
        <f t="shared" si="18"/>
        <v>858472.23015854915</v>
      </c>
      <c r="J91" s="107">
        <f t="shared" si="18"/>
        <v>884239.29912360164</v>
      </c>
      <c r="K91" s="107">
        <f t="shared" si="18"/>
        <v>910912.52313538385</v>
      </c>
      <c r="L91" s="107">
        <f t="shared" si="18"/>
        <v>937827.73981969268</v>
      </c>
      <c r="M91" s="107">
        <f t="shared" si="18"/>
        <v>964894.9171534538</v>
      </c>
      <c r="N91" s="107">
        <f t="shared" si="18"/>
        <v>991335.79468536377</v>
      </c>
      <c r="O91" s="107">
        <f t="shared" si="18"/>
        <v>1017050.1331664964</v>
      </c>
      <c r="P91" s="107">
        <f t="shared" si="18"/>
        <v>1042776.4126665639</v>
      </c>
      <c r="Q91" s="107">
        <f t="shared" si="18"/>
        <v>1068471.5107870947</v>
      </c>
      <c r="R91" s="107">
        <f t="shared" si="18"/>
        <v>1094089.1672885595</v>
      </c>
      <c r="S91" s="107">
        <f t="shared" si="18"/>
        <v>1119579.465264091</v>
      </c>
      <c r="T91" s="107">
        <f t="shared" si="18"/>
        <v>1145786.32922703</v>
      </c>
      <c r="U91" s="13"/>
    </row>
    <row r="92" spans="1:21" s="26" customFormat="1">
      <c r="A92" s="96" t="s">
        <v>51</v>
      </c>
      <c r="B92" s="166" t="s">
        <v>456</v>
      </c>
      <c r="C92" s="214"/>
      <c r="D92" s="214"/>
      <c r="E92" s="172"/>
      <c r="F92" s="172"/>
      <c r="G92" s="172"/>
      <c r="H92" s="172"/>
      <c r="I92" s="172"/>
      <c r="J92" s="172"/>
      <c r="K92" s="172"/>
      <c r="L92" s="172"/>
      <c r="M92" s="172"/>
      <c r="N92" s="172"/>
      <c r="O92" s="172"/>
      <c r="P92" s="172"/>
      <c r="Q92" s="172"/>
      <c r="R92" s="172"/>
      <c r="S92" s="172"/>
      <c r="T92" s="172"/>
      <c r="U92" s="13"/>
    </row>
    <row r="93" spans="1:21" s="26" customFormat="1">
      <c r="A93" s="96"/>
      <c r="B93" s="112" t="s">
        <v>162</v>
      </c>
      <c r="C93" s="214" t="s">
        <v>146</v>
      </c>
      <c r="D93" s="214"/>
      <c r="E93" s="173">
        <f>Założenia!E26</f>
        <v>0.35782385425306568</v>
      </c>
      <c r="F93" s="173">
        <f>Założenia!F26</f>
        <v>0.37238288766487126</v>
      </c>
      <c r="G93" s="173">
        <f>Założenia!G26</f>
        <v>0.3866844670998264</v>
      </c>
      <c r="H93" s="173">
        <f>Założenia!H26</f>
        <v>0.39879725926567333</v>
      </c>
      <c r="I93" s="173">
        <f>Założenia!I26</f>
        <v>0.4107077641788387</v>
      </c>
      <c r="J93" s="173">
        <f>Założenia!J26</f>
        <v>0.42303516967001475</v>
      </c>
      <c r="K93" s="173">
        <f>Założenia!K26</f>
        <v>0.4357960951984936</v>
      </c>
      <c r="L93" s="173">
        <f>Założenia!L26</f>
        <v>0.4486581865950911</v>
      </c>
      <c r="M93" s="173">
        <f>Założenia!M26</f>
        <v>0.46160716451842254</v>
      </c>
      <c r="N93" s="173">
        <f>Założenia!N26</f>
        <v>0.47425651968436211</v>
      </c>
      <c r="O93" s="173">
        <f>Założenia!O26</f>
        <v>0.48655829748702706</v>
      </c>
      <c r="P93" s="173">
        <f>Założenia!P26</f>
        <v>0.49886578789092351</v>
      </c>
      <c r="Q93" s="173">
        <f>Założenia!Q26</f>
        <v>0.51115836107643908</v>
      </c>
      <c r="R93" s="173">
        <f>Założenia!R26</f>
        <v>0.52341388607612926</v>
      </c>
      <c r="S93" s="173">
        <f>Założenia!S26</f>
        <v>0.53560848256745219</v>
      </c>
      <c r="T93" s="173">
        <f>Założenia!T26</f>
        <v>0.54814588529368946</v>
      </c>
      <c r="U93" s="13"/>
    </row>
    <row r="94" spans="1:21" s="26" customFormat="1">
      <c r="A94" s="96"/>
      <c r="B94" s="112" t="s">
        <v>77</v>
      </c>
      <c r="C94" s="214" t="s">
        <v>136</v>
      </c>
      <c r="D94" s="214"/>
      <c r="E94" s="106">
        <f>(Założenia!D247+Założenia!D248+Założenia!D249+Założenia!D250+Założenia!D251)*Założenia!D263</f>
        <v>0</v>
      </c>
      <c r="F94" s="106">
        <f>(Założenia!E247+Założenia!E248+Założenia!E249+Założenia!E250+Założenia!E251)*Założenia!E263</f>
        <v>0</v>
      </c>
      <c r="G94" s="106">
        <f>(Założenia!F247+Założenia!F248+Założenia!F249+Założenia!F250+Założenia!F251)*Założenia!F263</f>
        <v>0</v>
      </c>
      <c r="H94" s="106">
        <f>(Założenia!G247+Założenia!G248+Założenia!G249+Założenia!G250+Założenia!G251)*Założenia!G263</f>
        <v>0</v>
      </c>
      <c r="I94" s="106">
        <f>(Założenia!H247+Założenia!H248+Założenia!H249+Założenia!H250+Założenia!H251)*Założenia!H263</f>
        <v>0</v>
      </c>
      <c r="J94" s="106">
        <f>(Założenia!I247+Założenia!I248+Założenia!I249+Założenia!I250+Założenia!I251)*Założenia!I263</f>
        <v>0</v>
      </c>
      <c r="K94" s="106">
        <f>(Założenia!J247+Założenia!J248+Założenia!J249+Założenia!J250+Założenia!J251)*Założenia!J263</f>
        <v>0</v>
      </c>
      <c r="L94" s="106">
        <f>(Założenia!K247+Założenia!K248+Założenia!K249+Założenia!K250+Założenia!K251)*Założenia!K263</f>
        <v>0</v>
      </c>
      <c r="M94" s="106">
        <f>(Założenia!L247+Założenia!L248+Założenia!L249+Założenia!L250+Założenia!L251)*Założenia!L263</f>
        <v>0</v>
      </c>
      <c r="N94" s="106">
        <f>(Założenia!M247+Założenia!M248+Założenia!M249+Założenia!M250+Założenia!M251)*Założenia!M263</f>
        <v>0</v>
      </c>
      <c r="O94" s="106">
        <f>(Założenia!N247+Założenia!N248+Założenia!N249+Założenia!N250+Założenia!N251)*Założenia!N263</f>
        <v>0</v>
      </c>
      <c r="P94" s="106">
        <f>(Założenia!O247+Założenia!O248+Założenia!O249+Założenia!O250+Założenia!O251)*Założenia!O263</f>
        <v>0</v>
      </c>
      <c r="Q94" s="106">
        <f>(Założenia!P247+Założenia!P248+Założenia!P249+Założenia!P250+Założenia!P251)*Założenia!P263</f>
        <v>0</v>
      </c>
      <c r="R94" s="106">
        <f>(Założenia!Q247+Założenia!Q248+Założenia!Q249+Założenia!Q250+Założenia!Q251)*Założenia!Q263</f>
        <v>0</v>
      </c>
      <c r="S94" s="106">
        <f>(Założenia!R247+Założenia!R248+Założenia!R249+Założenia!R250+Założenia!R251)*Założenia!R263</f>
        <v>0</v>
      </c>
      <c r="T94" s="106">
        <f>(Założenia!S247+Założenia!S248+Założenia!S249+Założenia!S250+Założenia!S251)*Założenia!S263</f>
        <v>0</v>
      </c>
      <c r="U94" s="13"/>
    </row>
    <row r="95" spans="1:21" s="26" customFormat="1">
      <c r="A95" s="96"/>
      <c r="B95" s="112" t="s">
        <v>163</v>
      </c>
      <c r="C95" s="214" t="s">
        <v>0</v>
      </c>
      <c r="D95" s="214"/>
      <c r="E95" s="106">
        <f>E93*E94</f>
        <v>0</v>
      </c>
      <c r="F95" s="106">
        <f t="shared" ref="F95:T95" si="19">F93*F94</f>
        <v>0</v>
      </c>
      <c r="G95" s="106">
        <f t="shared" si="19"/>
        <v>0</v>
      </c>
      <c r="H95" s="106">
        <f t="shared" si="19"/>
        <v>0</v>
      </c>
      <c r="I95" s="106">
        <f t="shared" si="19"/>
        <v>0</v>
      </c>
      <c r="J95" s="106">
        <f t="shared" si="19"/>
        <v>0</v>
      </c>
      <c r="K95" s="106">
        <f t="shared" si="19"/>
        <v>0</v>
      </c>
      <c r="L95" s="106">
        <f t="shared" si="19"/>
        <v>0</v>
      </c>
      <c r="M95" s="106">
        <f t="shared" si="19"/>
        <v>0</v>
      </c>
      <c r="N95" s="106">
        <f t="shared" si="19"/>
        <v>0</v>
      </c>
      <c r="O95" s="106">
        <f t="shared" si="19"/>
        <v>0</v>
      </c>
      <c r="P95" s="106">
        <f t="shared" si="19"/>
        <v>0</v>
      </c>
      <c r="Q95" s="106">
        <f t="shared" si="19"/>
        <v>0</v>
      </c>
      <c r="R95" s="106">
        <f t="shared" si="19"/>
        <v>0</v>
      </c>
      <c r="S95" s="106">
        <f t="shared" si="19"/>
        <v>0</v>
      </c>
      <c r="T95" s="106">
        <f t="shared" si="19"/>
        <v>0</v>
      </c>
      <c r="U95" s="13"/>
    </row>
    <row r="96" spans="1:21" s="26" customFormat="1">
      <c r="A96" s="96" t="s">
        <v>52</v>
      </c>
      <c r="B96" s="166" t="s">
        <v>434</v>
      </c>
      <c r="C96" s="214"/>
      <c r="D96" s="214"/>
      <c r="E96" s="172"/>
      <c r="F96" s="172"/>
      <c r="G96" s="172"/>
      <c r="H96" s="172"/>
      <c r="I96" s="172"/>
      <c r="J96" s="172"/>
      <c r="K96" s="172"/>
      <c r="L96" s="172"/>
      <c r="M96" s="172"/>
      <c r="N96" s="172"/>
      <c r="O96" s="172"/>
      <c r="P96" s="172"/>
      <c r="Q96" s="172"/>
      <c r="R96" s="172"/>
      <c r="S96" s="172"/>
      <c r="T96" s="172"/>
      <c r="U96" s="13"/>
    </row>
    <row r="97" spans="1:21" s="26" customFormat="1">
      <c r="A97" s="96"/>
      <c r="B97" s="112" t="s">
        <v>162</v>
      </c>
      <c r="C97" s="214" t="s">
        <v>146</v>
      </c>
      <c r="D97" s="214"/>
      <c r="E97" s="173">
        <f>E93*(1-Założenia!$E$29)</f>
        <v>0.33993266154041235</v>
      </c>
      <c r="F97" s="173">
        <f>F93*(1-Założenia!$E$29)</f>
        <v>0.35376374328162769</v>
      </c>
      <c r="G97" s="173">
        <f>G93*(1-Założenia!$E$29)</f>
        <v>0.36735024374483505</v>
      </c>
      <c r="H97" s="173">
        <f>H93*(1-Założenia!$E$29)</f>
        <v>0.37885739630238963</v>
      </c>
      <c r="I97" s="173">
        <f>I93*(1-Założenia!$E$29)</f>
        <v>0.39017237596989673</v>
      </c>
      <c r="J97" s="173">
        <f>J93*(1-Założenia!$E$29)</f>
        <v>0.40188341118651399</v>
      </c>
      <c r="K97" s="173">
        <f>K93*(1-Założenia!$E$29)</f>
        <v>0.4140062904385689</v>
      </c>
      <c r="L97" s="173">
        <f>L93*(1-Założenia!$E$29)</f>
        <v>0.42622527726533654</v>
      </c>
      <c r="M97" s="173">
        <f>M93*(1-Założenia!$E$29)</f>
        <v>0.4385268062925014</v>
      </c>
      <c r="N97" s="173">
        <f>N93*(1-Założenia!$E$29)</f>
        <v>0.45054369370014397</v>
      </c>
      <c r="O97" s="173">
        <f>O93*(1-Założenia!$E$29)</f>
        <v>0.46223038261267568</v>
      </c>
      <c r="P97" s="173">
        <f>P93*(1-Założenia!$E$29)</f>
        <v>0.4739224984963773</v>
      </c>
      <c r="Q97" s="173">
        <f>Q93*(1-Założenia!$E$29)</f>
        <v>0.48560044302261712</v>
      </c>
      <c r="R97" s="173">
        <f>R93*(1-Założenia!$E$29)</f>
        <v>0.49724319177232279</v>
      </c>
      <c r="S97" s="173">
        <f>S93*(1-Założenia!$E$29)</f>
        <v>0.50882805843907952</v>
      </c>
      <c r="T97" s="173">
        <f>T93*(1-Założenia!$E$29)</f>
        <v>0.52073859102900499</v>
      </c>
      <c r="U97" s="13"/>
    </row>
    <row r="98" spans="1:21" s="26" customFormat="1">
      <c r="A98" s="96"/>
      <c r="B98" s="112" t="s">
        <v>77</v>
      </c>
      <c r="C98" s="214" t="s">
        <v>136</v>
      </c>
      <c r="D98" s="214"/>
      <c r="E98" s="106">
        <f>Założenia!D252*Założenia!D263+Założenia!D244*Założenia!D262</f>
        <v>2198000</v>
      </c>
      <c r="F98" s="106">
        <f>Założenia!E252*Założenia!E263+Założenia!E244*Założenia!E262</f>
        <v>2200238.3639399</v>
      </c>
      <c r="G98" s="106">
        <f>Założenia!F252*Założenia!F263+Założenia!F244*Założenia!F262</f>
        <v>2200238.3639399</v>
      </c>
      <c r="H98" s="106">
        <f>Założenia!G252*Założenia!G263+Założenia!G244*Założenia!G262</f>
        <v>2200238.3639399</v>
      </c>
      <c r="I98" s="106">
        <f>Założenia!H252*Założenia!H263+Założenia!H244*Założenia!H262</f>
        <v>2200238.3639399</v>
      </c>
      <c r="J98" s="106">
        <f>Założenia!I252*Założenia!I263+Założenia!I244*Założenia!I262</f>
        <v>2200238.3639399</v>
      </c>
      <c r="K98" s="106">
        <f>Założenia!J252*Założenia!J263+Założenia!J244*Założenia!J262</f>
        <v>2200238.3639399</v>
      </c>
      <c r="L98" s="106">
        <f>Założenia!K252*Założenia!K263+Założenia!K244*Założenia!K262</f>
        <v>2200310</v>
      </c>
      <c r="M98" s="106">
        <f>Założenia!L252*Założenia!L263+Założenia!L244*Założenia!L262</f>
        <v>2200310</v>
      </c>
      <c r="N98" s="106">
        <f>Założenia!M252*Założenia!M263+Założenia!M244*Założenia!M262</f>
        <v>2200310</v>
      </c>
      <c r="O98" s="106">
        <f>Założenia!N252*Założenia!N263+Założenia!N244*Założenia!N262</f>
        <v>2200310</v>
      </c>
      <c r="P98" s="106">
        <f>Założenia!O252*Założenia!O263+Założenia!O244*Założenia!O262</f>
        <v>2200310</v>
      </c>
      <c r="Q98" s="106">
        <f>Założenia!P252*Założenia!P263+Założenia!P244*Założenia!P262</f>
        <v>2200310</v>
      </c>
      <c r="R98" s="106">
        <f>Założenia!Q252*Założenia!Q263+Założenia!Q244*Założenia!Q262</f>
        <v>2200310</v>
      </c>
      <c r="S98" s="106">
        <f>Założenia!R252*Założenia!R263+Założenia!R244*Założenia!R262</f>
        <v>2200310</v>
      </c>
      <c r="T98" s="106">
        <f>Założenia!S252*Założenia!S263+Założenia!S244*Założenia!S262</f>
        <v>2200310</v>
      </c>
      <c r="U98" s="13"/>
    </row>
    <row r="99" spans="1:21" s="26" customFormat="1">
      <c r="A99" s="96"/>
      <c r="B99" s="112" t="s">
        <v>163</v>
      </c>
      <c r="C99" s="214" t="s">
        <v>0</v>
      </c>
      <c r="D99" s="214"/>
      <c r="E99" s="106">
        <f t="shared" ref="E99:T99" si="20">E97*E98</f>
        <v>747171.99006582634</v>
      </c>
      <c r="F99" s="106">
        <f t="shared" si="20"/>
        <v>778364.55973922322</v>
      </c>
      <c r="G99" s="106">
        <f t="shared" si="20"/>
        <v>808258.0992900593</v>
      </c>
      <c r="H99" s="106">
        <f t="shared" si="20"/>
        <v>833576.57780690002</v>
      </c>
      <c r="I99" s="106">
        <f t="shared" si="20"/>
        <v>858472.23015854915</v>
      </c>
      <c r="J99" s="106">
        <f t="shared" si="20"/>
        <v>884239.29912360164</v>
      </c>
      <c r="K99" s="106">
        <f t="shared" si="20"/>
        <v>910912.52313538385</v>
      </c>
      <c r="L99" s="106">
        <f t="shared" si="20"/>
        <v>937827.73981969268</v>
      </c>
      <c r="M99" s="106">
        <f t="shared" si="20"/>
        <v>964894.9171534538</v>
      </c>
      <c r="N99" s="106">
        <f t="shared" si="20"/>
        <v>991335.79468536377</v>
      </c>
      <c r="O99" s="106">
        <f t="shared" si="20"/>
        <v>1017050.1331664964</v>
      </c>
      <c r="P99" s="106">
        <f t="shared" si="20"/>
        <v>1042776.4126665639</v>
      </c>
      <c r="Q99" s="106">
        <f t="shared" si="20"/>
        <v>1068471.5107870947</v>
      </c>
      <c r="R99" s="106">
        <f t="shared" si="20"/>
        <v>1094089.1672885595</v>
      </c>
      <c r="S99" s="106">
        <f t="shared" si="20"/>
        <v>1119579.465264091</v>
      </c>
      <c r="T99" s="106">
        <f t="shared" si="20"/>
        <v>1145786.32922703</v>
      </c>
      <c r="U99" s="13"/>
    </row>
    <row r="100" spans="1:21" s="26" customFormat="1">
      <c r="A100" s="96" t="s">
        <v>58</v>
      </c>
      <c r="B100" s="166" t="s">
        <v>435</v>
      </c>
      <c r="C100" s="214"/>
      <c r="D100" s="214"/>
      <c r="E100" s="172"/>
      <c r="F100" s="172"/>
      <c r="G100" s="172"/>
      <c r="H100" s="172"/>
      <c r="I100" s="172"/>
      <c r="J100" s="172"/>
      <c r="K100" s="172"/>
      <c r="L100" s="172"/>
      <c r="M100" s="172"/>
      <c r="N100" s="172"/>
      <c r="O100" s="172"/>
      <c r="P100" s="172"/>
      <c r="Q100" s="172"/>
      <c r="R100" s="172"/>
      <c r="S100" s="172"/>
      <c r="T100" s="172"/>
      <c r="U100" s="13"/>
    </row>
    <row r="101" spans="1:21" s="26" customFormat="1">
      <c r="A101" s="96"/>
      <c r="B101" s="112" t="s">
        <v>162</v>
      </c>
      <c r="C101" s="214" t="s">
        <v>146</v>
      </c>
      <c r="D101" s="214"/>
      <c r="E101" s="173">
        <f>E97*(1-Założenia!$E$30)</f>
        <v>0.3059393953863711</v>
      </c>
      <c r="F101" s="173">
        <f>F97*(1-Założenia!$E$30)</f>
        <v>0.31838736895346492</v>
      </c>
      <c r="G101" s="173">
        <f>G97*(1-Założenia!$E$30)</f>
        <v>0.33061521937035154</v>
      </c>
      <c r="H101" s="173">
        <f>H97*(1-Założenia!$E$30)</f>
        <v>0.34097165667215068</v>
      </c>
      <c r="I101" s="173">
        <f>I97*(1-Założenia!$E$30)</f>
        <v>0.35115513837290707</v>
      </c>
      <c r="J101" s="173">
        <f>J97*(1-Założenia!$E$30)</f>
        <v>0.36169507006786261</v>
      </c>
      <c r="K101" s="173">
        <f>K97*(1-Założenia!$E$30)</f>
        <v>0.37260566139471202</v>
      </c>
      <c r="L101" s="173">
        <f>L97*(1-Założenia!$E$30)</f>
        <v>0.38360274953880291</v>
      </c>
      <c r="M101" s="173">
        <f>M97*(1-Założenia!$E$30)</f>
        <v>0.39467412566325127</v>
      </c>
      <c r="N101" s="173">
        <f>N97*(1-Założenia!$E$30)</f>
        <v>0.40548932433012957</v>
      </c>
      <c r="O101" s="173">
        <f>O97*(1-Założenia!$E$30)</f>
        <v>0.41600734435140813</v>
      </c>
      <c r="P101" s="173">
        <f>P97*(1-Założenia!$E$30)</f>
        <v>0.42653024864673955</v>
      </c>
      <c r="Q101" s="173">
        <f>Q97*(1-Założenia!$E$30)</f>
        <v>0.43704039872035544</v>
      </c>
      <c r="R101" s="173">
        <f>R97*(1-Założenia!$E$30)</f>
        <v>0.44751887259509054</v>
      </c>
      <c r="S101" s="173">
        <f>S97*(1-Założenia!$E$30)</f>
        <v>0.4579452525951716</v>
      </c>
      <c r="T101" s="173">
        <f>T97*(1-Założenia!$E$30)</f>
        <v>0.46866473192610453</v>
      </c>
      <c r="U101" s="13"/>
    </row>
    <row r="102" spans="1:21" s="26" customFormat="1">
      <c r="A102" s="96"/>
      <c r="B102" s="112" t="s">
        <v>77</v>
      </c>
      <c r="C102" s="214" t="s">
        <v>136</v>
      </c>
      <c r="D102" s="214"/>
      <c r="E102" s="106">
        <f>Założenia!D253*Założenia!D264</f>
        <v>0</v>
      </c>
      <c r="F102" s="106">
        <f>Założenia!E253*Założenia!E264</f>
        <v>0</v>
      </c>
      <c r="G102" s="106">
        <f>Założenia!F253*Założenia!F264</f>
        <v>0</v>
      </c>
      <c r="H102" s="106">
        <f>Założenia!G253*Założenia!G264</f>
        <v>0</v>
      </c>
      <c r="I102" s="106">
        <f>Założenia!H253*Założenia!H264</f>
        <v>0</v>
      </c>
      <c r="J102" s="106">
        <f>Założenia!I253*Założenia!I264</f>
        <v>0</v>
      </c>
      <c r="K102" s="106">
        <f>Założenia!J253*Założenia!J264</f>
        <v>0</v>
      </c>
      <c r="L102" s="106">
        <f>Założenia!K253*Założenia!K264</f>
        <v>0</v>
      </c>
      <c r="M102" s="106">
        <f>Założenia!L253*Założenia!L264</f>
        <v>0</v>
      </c>
      <c r="N102" s="106">
        <f>Założenia!M253*Założenia!M264</f>
        <v>0</v>
      </c>
      <c r="O102" s="106">
        <f>Założenia!N253*Założenia!N264</f>
        <v>0</v>
      </c>
      <c r="P102" s="106">
        <f>Założenia!O253*Założenia!O264</f>
        <v>0</v>
      </c>
      <c r="Q102" s="106">
        <f>Założenia!P253*Założenia!P264</f>
        <v>0</v>
      </c>
      <c r="R102" s="106">
        <f>Założenia!Q253*Założenia!Q264</f>
        <v>0</v>
      </c>
      <c r="S102" s="106">
        <f>Założenia!R253*Założenia!R264</f>
        <v>0</v>
      </c>
      <c r="T102" s="106">
        <f>Założenia!S253*Założenia!S264</f>
        <v>0</v>
      </c>
      <c r="U102" s="13"/>
    </row>
    <row r="103" spans="1:21" s="26" customFormat="1">
      <c r="A103" s="96"/>
      <c r="B103" s="112" t="s">
        <v>163</v>
      </c>
      <c r="C103" s="214" t="s">
        <v>0</v>
      </c>
      <c r="D103" s="214"/>
      <c r="E103" s="106">
        <f t="shared" ref="E103:T103" si="21">E101*E102</f>
        <v>0</v>
      </c>
      <c r="F103" s="106">
        <f t="shared" si="21"/>
        <v>0</v>
      </c>
      <c r="G103" s="106">
        <f t="shared" si="21"/>
        <v>0</v>
      </c>
      <c r="H103" s="106">
        <f t="shared" si="21"/>
        <v>0</v>
      </c>
      <c r="I103" s="106">
        <f t="shared" si="21"/>
        <v>0</v>
      </c>
      <c r="J103" s="106">
        <f t="shared" si="21"/>
        <v>0</v>
      </c>
      <c r="K103" s="106">
        <f t="shared" si="21"/>
        <v>0</v>
      </c>
      <c r="L103" s="106">
        <f t="shared" si="21"/>
        <v>0</v>
      </c>
      <c r="M103" s="106">
        <f t="shared" si="21"/>
        <v>0</v>
      </c>
      <c r="N103" s="106">
        <f t="shared" si="21"/>
        <v>0</v>
      </c>
      <c r="O103" s="106">
        <f t="shared" si="21"/>
        <v>0</v>
      </c>
      <c r="P103" s="106">
        <f t="shared" si="21"/>
        <v>0</v>
      </c>
      <c r="Q103" s="106">
        <f t="shared" si="21"/>
        <v>0</v>
      </c>
      <c r="R103" s="106">
        <f t="shared" si="21"/>
        <v>0</v>
      </c>
      <c r="S103" s="106">
        <f t="shared" si="21"/>
        <v>0</v>
      </c>
      <c r="T103" s="106">
        <f t="shared" si="21"/>
        <v>0</v>
      </c>
      <c r="U103" s="13"/>
    </row>
    <row r="104" spans="1:21" s="26" customFormat="1">
      <c r="A104" s="96" t="s">
        <v>361</v>
      </c>
      <c r="B104" s="166" t="s">
        <v>229</v>
      </c>
      <c r="C104" s="214"/>
      <c r="D104" s="214"/>
      <c r="E104" s="172"/>
      <c r="F104" s="172"/>
      <c r="G104" s="172"/>
      <c r="H104" s="172"/>
      <c r="I104" s="172"/>
      <c r="J104" s="172"/>
      <c r="K104" s="172"/>
      <c r="L104" s="172"/>
      <c r="M104" s="172"/>
      <c r="N104" s="172"/>
      <c r="O104" s="172"/>
      <c r="P104" s="172"/>
      <c r="Q104" s="172"/>
      <c r="R104" s="172"/>
      <c r="S104" s="172"/>
      <c r="T104" s="172"/>
      <c r="U104" s="13"/>
    </row>
    <row r="105" spans="1:21" s="26" customFormat="1">
      <c r="A105" s="96"/>
      <c r="B105" s="112" t="s">
        <v>162</v>
      </c>
      <c r="C105" s="214" t="s">
        <v>146</v>
      </c>
      <c r="D105" s="214"/>
      <c r="E105" s="173">
        <f>E93*(1-Założenia!$E$28)</f>
        <v>7.1564770850613121E-2</v>
      </c>
      <c r="F105" s="173">
        <f>F93*(1-Założenia!$E$28)</f>
        <v>7.4476577532974236E-2</v>
      </c>
      <c r="G105" s="173">
        <f>G93*(1-Założenia!$E$28)</f>
        <v>7.7336893419965261E-2</v>
      </c>
      <c r="H105" s="173">
        <f>H93*(1-Założenia!$E$28)</f>
        <v>7.9759451853134655E-2</v>
      </c>
      <c r="I105" s="173">
        <f>I93*(1-Założenia!$E$28)</f>
        <v>8.2141552835767725E-2</v>
      </c>
      <c r="J105" s="173">
        <f>J93*(1-Założenia!$E$28)</f>
        <v>8.4607033934002929E-2</v>
      </c>
      <c r="K105" s="173">
        <f>K93*(1-Założenia!$E$28)</f>
        <v>8.7159219039698699E-2</v>
      </c>
      <c r="L105" s="173">
        <f>L93*(1-Założenia!$E$28)</f>
        <v>8.9731637319018204E-2</v>
      </c>
      <c r="M105" s="173">
        <f>M93*(1-Założenia!$E$28)</f>
        <v>9.2321432903684483E-2</v>
      </c>
      <c r="N105" s="173">
        <f>N93*(1-Założenia!$E$28)</f>
        <v>9.4851303936872397E-2</v>
      </c>
      <c r="O105" s="173">
        <f>O93*(1-Założenia!$E$28)</f>
        <v>9.7311659497405389E-2</v>
      </c>
      <c r="P105" s="173">
        <f>P93*(1-Założenia!$E$28)</f>
        <v>9.9773157578184682E-2</v>
      </c>
      <c r="Q105" s="173">
        <f>Q93*(1-Założenia!$E$28)</f>
        <v>0.1022316722152878</v>
      </c>
      <c r="R105" s="173">
        <f>R93*(1-Założenia!$E$28)</f>
        <v>0.10468277721522583</v>
      </c>
      <c r="S105" s="173">
        <f>S93*(1-Założenia!$E$28)</f>
        <v>0.10712169651349042</v>
      </c>
      <c r="T105" s="173">
        <f>T93*(1-Założenia!$E$28)</f>
        <v>0.10962917705873787</v>
      </c>
      <c r="U105" s="13"/>
    </row>
    <row r="106" spans="1:21" s="26" customFormat="1">
      <c r="A106" s="96"/>
      <c r="B106" s="112" t="s">
        <v>77</v>
      </c>
      <c r="C106" s="214" t="s">
        <v>136</v>
      </c>
      <c r="D106" s="214"/>
      <c r="E106" s="106">
        <f>Założenia!D254*Założenia!D265</f>
        <v>0</v>
      </c>
      <c r="F106" s="106">
        <f>Założenia!E254*Założenia!E265</f>
        <v>0</v>
      </c>
      <c r="G106" s="106">
        <f>Założenia!F254*Założenia!F265</f>
        <v>0</v>
      </c>
      <c r="H106" s="106">
        <f>Założenia!G254*Założenia!G265</f>
        <v>0</v>
      </c>
      <c r="I106" s="106">
        <f>Założenia!H254*Założenia!H265</f>
        <v>0</v>
      </c>
      <c r="J106" s="106">
        <f>Założenia!I254*Założenia!I265</f>
        <v>0</v>
      </c>
      <c r="K106" s="106">
        <f>Założenia!J254*Założenia!J265</f>
        <v>0</v>
      </c>
      <c r="L106" s="106">
        <f>Założenia!K254*Założenia!K265</f>
        <v>0</v>
      </c>
      <c r="M106" s="106">
        <f>Założenia!L254*Założenia!L265</f>
        <v>0</v>
      </c>
      <c r="N106" s="106">
        <f>Założenia!M254*Założenia!M265</f>
        <v>0</v>
      </c>
      <c r="O106" s="106">
        <f>Założenia!N254*Założenia!N265</f>
        <v>0</v>
      </c>
      <c r="P106" s="106">
        <f>Założenia!O254*Założenia!O265</f>
        <v>0</v>
      </c>
      <c r="Q106" s="106">
        <f>Założenia!P254*Założenia!P265</f>
        <v>0</v>
      </c>
      <c r="R106" s="106">
        <f>Założenia!Q254*Założenia!Q265</f>
        <v>0</v>
      </c>
      <c r="S106" s="106">
        <f>Założenia!R254*Założenia!R265</f>
        <v>0</v>
      </c>
      <c r="T106" s="106">
        <f>Założenia!S254*Założenia!S265</f>
        <v>0</v>
      </c>
      <c r="U106" s="13"/>
    </row>
    <row r="107" spans="1:21" s="26" customFormat="1">
      <c r="A107" s="96"/>
      <c r="B107" s="112" t="s">
        <v>163</v>
      </c>
      <c r="C107" s="214" t="s">
        <v>0</v>
      </c>
      <c r="D107" s="214"/>
      <c r="E107" s="106">
        <f t="shared" ref="E107:T107" si="22">E105*E106</f>
        <v>0</v>
      </c>
      <c r="F107" s="106">
        <f t="shared" si="22"/>
        <v>0</v>
      </c>
      <c r="G107" s="106">
        <f t="shared" si="22"/>
        <v>0</v>
      </c>
      <c r="H107" s="106">
        <f t="shared" si="22"/>
        <v>0</v>
      </c>
      <c r="I107" s="106">
        <f t="shared" si="22"/>
        <v>0</v>
      </c>
      <c r="J107" s="106">
        <f t="shared" si="22"/>
        <v>0</v>
      </c>
      <c r="K107" s="106">
        <f t="shared" si="22"/>
        <v>0</v>
      </c>
      <c r="L107" s="106">
        <f t="shared" si="22"/>
        <v>0</v>
      </c>
      <c r="M107" s="106">
        <f t="shared" si="22"/>
        <v>0</v>
      </c>
      <c r="N107" s="106">
        <f t="shared" si="22"/>
        <v>0</v>
      </c>
      <c r="O107" s="106">
        <f t="shared" si="22"/>
        <v>0</v>
      </c>
      <c r="P107" s="106">
        <f t="shared" si="22"/>
        <v>0</v>
      </c>
      <c r="Q107" s="106">
        <f t="shared" si="22"/>
        <v>0</v>
      </c>
      <c r="R107" s="106">
        <f t="shared" si="22"/>
        <v>0</v>
      </c>
      <c r="S107" s="106">
        <f t="shared" si="22"/>
        <v>0</v>
      </c>
      <c r="T107" s="106">
        <f t="shared" si="22"/>
        <v>0</v>
      </c>
      <c r="U107" s="13"/>
    </row>
    <row r="108" spans="1:21" s="42" customFormat="1">
      <c r="A108" s="114"/>
      <c r="B108" s="115"/>
      <c r="C108" s="151"/>
      <c r="D108" s="151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6"/>
    </row>
    <row r="109" spans="1:21" s="1" customFormat="1" ht="12">
      <c r="A109" s="269" t="s">
        <v>27</v>
      </c>
      <c r="B109" s="95" t="s">
        <v>227</v>
      </c>
    </row>
    <row r="110" spans="1:21">
      <c r="A110" s="96" t="s">
        <v>34</v>
      </c>
      <c r="B110" s="112" t="s">
        <v>82</v>
      </c>
      <c r="C110" s="214" t="s">
        <v>0</v>
      </c>
      <c r="D110" s="300">
        <f t="shared" ref="D110:D115" si="23">SUM(E110:T110)</f>
        <v>23400000</v>
      </c>
      <c r="E110" s="40">
        <f>E111+E112</f>
        <v>0</v>
      </c>
      <c r="F110" s="40">
        <f t="shared" ref="F110:T110" si="24">F111+F112</f>
        <v>0</v>
      </c>
      <c r="G110" s="40">
        <f t="shared" si="24"/>
        <v>0</v>
      </c>
      <c r="H110" s="40">
        <f t="shared" si="24"/>
        <v>0</v>
      </c>
      <c r="I110" s="40">
        <f t="shared" si="24"/>
        <v>0</v>
      </c>
      <c r="J110" s="40">
        <f t="shared" si="24"/>
        <v>0</v>
      </c>
      <c r="K110" s="40">
        <f t="shared" si="24"/>
        <v>11700000</v>
      </c>
      <c r="L110" s="40">
        <f t="shared" si="24"/>
        <v>0</v>
      </c>
      <c r="M110" s="40">
        <f t="shared" si="24"/>
        <v>0</v>
      </c>
      <c r="N110" s="40">
        <f t="shared" si="24"/>
        <v>0</v>
      </c>
      <c r="O110" s="40">
        <f t="shared" si="24"/>
        <v>0</v>
      </c>
      <c r="P110" s="40">
        <f t="shared" si="24"/>
        <v>0</v>
      </c>
      <c r="Q110" s="40">
        <f t="shared" si="24"/>
        <v>11700000</v>
      </c>
      <c r="R110" s="40">
        <f t="shared" si="24"/>
        <v>0</v>
      </c>
      <c r="S110" s="40">
        <f t="shared" si="24"/>
        <v>0</v>
      </c>
      <c r="T110" s="40">
        <f t="shared" si="24"/>
        <v>0</v>
      </c>
      <c r="U110" s="1"/>
    </row>
    <row r="111" spans="1:21" s="45" customFormat="1" ht="12">
      <c r="A111" s="96"/>
      <c r="B111" s="112" t="s">
        <v>221</v>
      </c>
      <c r="C111" s="214" t="s">
        <v>0</v>
      </c>
      <c r="D111" s="300">
        <f>SUM(E111:T111)</f>
        <v>23400000</v>
      </c>
      <c r="E111" s="233">
        <f>Opcje!E16</f>
        <v>0</v>
      </c>
      <c r="F111" s="233">
        <f>Opcje!F16</f>
        <v>0</v>
      </c>
      <c r="G111" s="233">
        <f>Opcje!G16</f>
        <v>0</v>
      </c>
      <c r="H111" s="233">
        <f>Opcje!H16</f>
        <v>0</v>
      </c>
      <c r="I111" s="233">
        <f>Opcje!I16</f>
        <v>0</v>
      </c>
      <c r="J111" s="233">
        <f>Opcje!J16</f>
        <v>0</v>
      </c>
      <c r="K111" s="233">
        <f>Opcje!K16</f>
        <v>11700000</v>
      </c>
      <c r="L111" s="233">
        <f>Opcje!L16</f>
        <v>0</v>
      </c>
      <c r="M111" s="233">
        <f>Opcje!M16</f>
        <v>0</v>
      </c>
      <c r="N111" s="233">
        <f>Opcje!N16</f>
        <v>0</v>
      </c>
      <c r="O111" s="233">
        <f>Opcje!O16</f>
        <v>0</v>
      </c>
      <c r="P111" s="233">
        <f>Opcje!P16</f>
        <v>0</v>
      </c>
      <c r="Q111" s="233">
        <f>Opcje!Q16</f>
        <v>11700000</v>
      </c>
      <c r="R111" s="233">
        <f>Opcje!R16</f>
        <v>0</v>
      </c>
      <c r="S111" s="233">
        <f>Opcje!S16</f>
        <v>0</v>
      </c>
      <c r="T111" s="233">
        <f>Opcje!T16</f>
        <v>0</v>
      </c>
      <c r="U111" s="1"/>
    </row>
    <row r="112" spans="1:21" s="27" customFormat="1" ht="12">
      <c r="A112" s="96"/>
      <c r="B112" s="112" t="s">
        <v>222</v>
      </c>
      <c r="C112" s="214" t="s">
        <v>0</v>
      </c>
      <c r="D112" s="300">
        <f>SUM(E112:T112)</f>
        <v>0</v>
      </c>
      <c r="E112" s="233">
        <f>Opcje!E17</f>
        <v>0</v>
      </c>
      <c r="F112" s="233">
        <f>Opcje!F17</f>
        <v>0</v>
      </c>
      <c r="G112" s="233">
        <f>Opcje!G17</f>
        <v>0</v>
      </c>
      <c r="H112" s="233">
        <f>Opcje!H17</f>
        <v>0</v>
      </c>
      <c r="I112" s="233">
        <f>Opcje!I17</f>
        <v>0</v>
      </c>
      <c r="J112" s="233">
        <f>Opcje!J17</f>
        <v>0</v>
      </c>
      <c r="K112" s="233">
        <f>Opcje!K17</f>
        <v>0</v>
      </c>
      <c r="L112" s="233">
        <f>Opcje!L17</f>
        <v>0</v>
      </c>
      <c r="M112" s="233">
        <f>Opcje!M17</f>
        <v>0</v>
      </c>
      <c r="N112" s="233">
        <f>Opcje!N17</f>
        <v>0</v>
      </c>
      <c r="O112" s="233">
        <f>Opcje!O17</f>
        <v>0</v>
      </c>
      <c r="P112" s="233">
        <f>Opcje!P17</f>
        <v>0</v>
      </c>
      <c r="Q112" s="233">
        <f>Opcje!Q17</f>
        <v>0</v>
      </c>
      <c r="R112" s="233">
        <f>Opcje!R17</f>
        <v>0</v>
      </c>
      <c r="S112" s="233">
        <f>Opcje!S17</f>
        <v>0</v>
      </c>
      <c r="T112" s="233">
        <f>Opcje!T17</f>
        <v>0</v>
      </c>
      <c r="U112" s="1"/>
    </row>
    <row r="113" spans="1:22" s="45" customFormat="1" ht="12">
      <c r="A113" s="96" t="s">
        <v>35</v>
      </c>
      <c r="B113" s="112" t="s">
        <v>223</v>
      </c>
      <c r="C113" s="214" t="s">
        <v>0</v>
      </c>
      <c r="D113" s="300">
        <f t="shared" si="23"/>
        <v>0</v>
      </c>
      <c r="E113" s="40">
        <f>SUM(E114:E116)</f>
        <v>0</v>
      </c>
      <c r="F113" s="40">
        <f t="shared" ref="F113:T113" si="25">SUM(F114:F116)</f>
        <v>0</v>
      </c>
      <c r="G113" s="40">
        <f t="shared" si="25"/>
        <v>0</v>
      </c>
      <c r="H113" s="40">
        <f t="shared" si="25"/>
        <v>0</v>
      </c>
      <c r="I113" s="40">
        <f t="shared" si="25"/>
        <v>0</v>
      </c>
      <c r="J113" s="40">
        <f t="shared" si="25"/>
        <v>0</v>
      </c>
      <c r="K113" s="40">
        <f t="shared" si="25"/>
        <v>0</v>
      </c>
      <c r="L113" s="40">
        <f t="shared" si="25"/>
        <v>0</v>
      </c>
      <c r="M113" s="40">
        <f t="shared" si="25"/>
        <v>0</v>
      </c>
      <c r="N113" s="40">
        <f t="shared" si="25"/>
        <v>0</v>
      </c>
      <c r="O113" s="40">
        <f t="shared" si="25"/>
        <v>0</v>
      </c>
      <c r="P113" s="40">
        <f t="shared" si="25"/>
        <v>0</v>
      </c>
      <c r="Q113" s="40">
        <f t="shared" si="25"/>
        <v>0</v>
      </c>
      <c r="R113" s="40">
        <f t="shared" si="25"/>
        <v>0</v>
      </c>
      <c r="S113" s="40">
        <f t="shared" si="25"/>
        <v>0</v>
      </c>
      <c r="T113" s="40">
        <f t="shared" si="25"/>
        <v>0</v>
      </c>
      <c r="U113" s="1"/>
    </row>
    <row r="114" spans="1:22">
      <c r="A114" s="96"/>
      <c r="B114" s="112" t="s">
        <v>221</v>
      </c>
      <c r="C114" s="214" t="s">
        <v>0</v>
      </c>
      <c r="D114" s="300">
        <f>SUM(E114:T114)</f>
        <v>0</v>
      </c>
      <c r="E114" s="233"/>
      <c r="F114" s="233"/>
      <c r="G114" s="233"/>
      <c r="H114" s="233"/>
      <c r="I114" s="233"/>
      <c r="J114" s="233"/>
      <c r="K114" s="233"/>
      <c r="L114" s="233"/>
      <c r="M114" s="233"/>
      <c r="N114" s="233"/>
      <c r="O114" s="233"/>
      <c r="P114" s="233"/>
      <c r="Q114" s="233"/>
      <c r="R114" s="233"/>
      <c r="S114" s="233"/>
      <c r="T114" s="233"/>
      <c r="U114" s="1"/>
    </row>
    <row r="115" spans="1:22" s="45" customFormat="1" ht="12">
      <c r="A115" s="96"/>
      <c r="B115" s="112" t="s">
        <v>222</v>
      </c>
      <c r="C115" s="214" t="s">
        <v>0</v>
      </c>
      <c r="D115" s="300">
        <f t="shared" si="23"/>
        <v>0</v>
      </c>
      <c r="E115" s="233"/>
      <c r="F115" s="233"/>
      <c r="G115" s="233"/>
      <c r="H115" s="233"/>
      <c r="I115" s="233"/>
      <c r="J115" s="233"/>
      <c r="K115" s="233"/>
      <c r="L115" s="233"/>
      <c r="M115" s="233"/>
      <c r="N115" s="233"/>
      <c r="O115" s="233"/>
      <c r="P115" s="233"/>
      <c r="Q115" s="233"/>
      <c r="R115" s="233"/>
      <c r="S115" s="233"/>
      <c r="T115" s="233"/>
      <c r="U115" s="1"/>
    </row>
    <row r="116" spans="1:22">
      <c r="A116" s="1"/>
      <c r="B116" s="112" t="s">
        <v>244</v>
      </c>
      <c r="C116" s="214" t="s">
        <v>0</v>
      </c>
      <c r="D116" s="300">
        <f t="shared" ref="D116" si="26">SUM(E116:T116)</f>
        <v>0</v>
      </c>
      <c r="E116" s="233">
        <f>Opcje!E18</f>
        <v>0</v>
      </c>
      <c r="F116" s="233">
        <f>Opcje!F18</f>
        <v>0</v>
      </c>
      <c r="G116" s="233">
        <f>Opcje!G18</f>
        <v>0</v>
      </c>
      <c r="H116" s="233">
        <f>Opcje!H18</f>
        <v>0</v>
      </c>
      <c r="I116" s="233">
        <f>Opcje!I18</f>
        <v>0</v>
      </c>
      <c r="J116" s="233">
        <f>Opcje!J18</f>
        <v>0</v>
      </c>
      <c r="K116" s="233">
        <f>Opcje!K18</f>
        <v>0</v>
      </c>
      <c r="L116" s="233">
        <f>Opcje!L18</f>
        <v>0</v>
      </c>
      <c r="M116" s="233">
        <f>Opcje!M18</f>
        <v>0</v>
      </c>
      <c r="N116" s="233">
        <f>Opcje!N18</f>
        <v>0</v>
      </c>
      <c r="O116" s="233">
        <f>Opcje!O18</f>
        <v>0</v>
      </c>
      <c r="P116" s="233">
        <f>Opcje!P18</f>
        <v>0</v>
      </c>
      <c r="Q116" s="233">
        <f>Opcje!Q18</f>
        <v>0</v>
      </c>
      <c r="R116" s="233">
        <f>Opcje!R18</f>
        <v>0</v>
      </c>
      <c r="S116" s="233">
        <f>Opcje!S18</f>
        <v>0</v>
      </c>
      <c r="T116" s="233">
        <f>Opcje!T18</f>
        <v>0</v>
      </c>
      <c r="U116" s="1"/>
    </row>
    <row r="117" spans="1:22" s="1" customFormat="1" ht="12">
      <c r="A117" s="3"/>
      <c r="B117" s="17"/>
      <c r="C117" s="17"/>
      <c r="D117" s="17"/>
      <c r="E117" s="17"/>
      <c r="F117" s="306"/>
      <c r="G117" s="17"/>
      <c r="H117" s="307"/>
      <c r="I117" s="308"/>
    </row>
    <row r="118" spans="1:22" s="1" customFormat="1" ht="12">
      <c r="A118" s="3"/>
      <c r="B118" s="17"/>
      <c r="C118" s="17"/>
      <c r="D118" s="17"/>
      <c r="E118" s="17"/>
      <c r="F118" s="306"/>
      <c r="G118" s="17"/>
      <c r="H118" s="307"/>
      <c r="I118" s="308"/>
    </row>
    <row r="119" spans="1:22" s="1" customFormat="1" ht="12">
      <c r="A119" s="292"/>
      <c r="B119" s="292"/>
      <c r="C119" s="292"/>
      <c r="D119" s="292"/>
      <c r="E119" s="292"/>
      <c r="F119" s="292"/>
      <c r="G119" s="309"/>
      <c r="H119" s="309"/>
      <c r="I119" s="309"/>
    </row>
    <row r="120" spans="1:22" s="1" customFormat="1" ht="12">
      <c r="A120" s="3"/>
      <c r="B120" s="310"/>
      <c r="C120" s="17"/>
      <c r="D120" s="17"/>
      <c r="E120" s="17"/>
      <c r="F120" s="306"/>
      <c r="G120" s="17"/>
      <c r="H120" s="17"/>
      <c r="I120" s="308"/>
    </row>
    <row r="121" spans="1:22" s="1" customFormat="1" ht="12">
      <c r="A121" s="3"/>
      <c r="B121" s="310"/>
      <c r="C121" s="17"/>
      <c r="D121" s="17"/>
      <c r="E121" s="17"/>
      <c r="F121" s="306"/>
      <c r="G121" s="17"/>
      <c r="H121" s="307"/>
      <c r="I121" s="308"/>
    </row>
    <row r="122" spans="1:22" s="1" customFormat="1" ht="12">
      <c r="A122" s="3"/>
      <c r="B122" s="310"/>
      <c r="C122" s="17"/>
      <c r="D122" s="17"/>
      <c r="E122" s="17"/>
      <c r="F122" s="306"/>
      <c r="G122" s="17"/>
      <c r="H122" s="307"/>
      <c r="I122" s="4"/>
    </row>
    <row r="123" spans="1:22" s="1" customFormat="1" ht="14.25" thickBot="1">
      <c r="A123" s="3"/>
      <c r="B123" s="95" t="s">
        <v>286</v>
      </c>
      <c r="C123" s="270" t="s">
        <v>240</v>
      </c>
      <c r="D123" s="270" t="s">
        <v>0</v>
      </c>
      <c r="E123" s="270" t="s">
        <v>241</v>
      </c>
      <c r="F123" s="270">
        <f t="shared" ref="F123:U123" si="27">E5</f>
        <v>2021</v>
      </c>
      <c r="G123" s="270">
        <f t="shared" si="27"/>
        <v>2022</v>
      </c>
      <c r="H123" s="270">
        <f t="shared" si="27"/>
        <v>2023</v>
      </c>
      <c r="I123" s="270">
        <f t="shared" si="27"/>
        <v>2024</v>
      </c>
      <c r="J123" s="270">
        <f t="shared" si="27"/>
        <v>2025</v>
      </c>
      <c r="K123" s="270">
        <f t="shared" si="27"/>
        <v>2026</v>
      </c>
      <c r="L123" s="270">
        <f t="shared" si="27"/>
        <v>2027</v>
      </c>
      <c r="M123" s="270">
        <f t="shared" si="27"/>
        <v>2028</v>
      </c>
      <c r="N123" s="270">
        <f t="shared" si="27"/>
        <v>2029</v>
      </c>
      <c r="O123" s="270">
        <f t="shared" si="27"/>
        <v>2030</v>
      </c>
      <c r="P123" s="270">
        <f t="shared" si="27"/>
        <v>2031</v>
      </c>
      <c r="Q123" s="270">
        <f t="shared" si="27"/>
        <v>2032</v>
      </c>
      <c r="R123" s="270">
        <f t="shared" si="27"/>
        <v>2033</v>
      </c>
      <c r="S123" s="270">
        <f t="shared" si="27"/>
        <v>2034</v>
      </c>
      <c r="T123" s="270">
        <f t="shared" si="27"/>
        <v>2035</v>
      </c>
      <c r="U123" s="270">
        <f t="shared" si="27"/>
        <v>2036</v>
      </c>
    </row>
    <row r="124" spans="1:22" s="1" customFormat="1">
      <c r="A124" s="3"/>
      <c r="B124" s="311" t="s">
        <v>237</v>
      </c>
      <c r="C124" s="312">
        <f>AVERAGE(F125:U125)</f>
        <v>1193.3049475747075</v>
      </c>
      <c r="D124" s="313">
        <f>SUMPRODUCT(F124:U124,F125:U125)/COLUMNS(F124:U124)</f>
        <v>273256.90375824075</v>
      </c>
      <c r="E124" s="314" t="s">
        <v>236</v>
      </c>
      <c r="F124" s="315">
        <f>Założenia!E115</f>
        <v>188.60725391508436</v>
      </c>
      <c r="G124" s="315">
        <f>Założenia!F115</f>
        <v>193.99603259837247</v>
      </c>
      <c r="H124" s="315">
        <f>Założenia!G115</f>
        <v>199.38481128166063</v>
      </c>
      <c r="I124" s="315">
        <f>Założenia!H115</f>
        <v>204.77358996494871</v>
      </c>
      <c r="J124" s="315">
        <f>Założenia!I115</f>
        <v>210.16236864823688</v>
      </c>
      <c r="K124" s="315">
        <f>Założenia!J115</f>
        <v>215.55114733152499</v>
      </c>
      <c r="L124" s="315">
        <f>Założenia!K115</f>
        <v>220.93992601481312</v>
      </c>
      <c r="M124" s="315">
        <f>Założenia!L115</f>
        <v>226.32870469810123</v>
      </c>
      <c r="N124" s="315">
        <f>Założenia!M115</f>
        <v>231.71748338138934</v>
      </c>
      <c r="O124" s="315">
        <f>Założenia!N115</f>
        <v>237.10626206467751</v>
      </c>
      <c r="P124" s="315">
        <f>Założenia!O115</f>
        <v>242.49504074796559</v>
      </c>
      <c r="Q124" s="315">
        <f>Założenia!P115</f>
        <v>247.88381943125376</v>
      </c>
      <c r="R124" s="315">
        <f>Założenia!Q115</f>
        <v>253.27259811454186</v>
      </c>
      <c r="S124" s="315">
        <f>Założenia!R115</f>
        <v>258.66137679782997</v>
      </c>
      <c r="T124" s="315">
        <f>Założenia!S115</f>
        <v>264.05015548111811</v>
      </c>
      <c r="U124" s="316">
        <f>Założenia!T115</f>
        <v>269.43893416440625</v>
      </c>
      <c r="V124" s="50"/>
    </row>
    <row r="125" spans="1:22" s="1" customFormat="1" ht="13.5" thickBot="1">
      <c r="A125" s="3"/>
      <c r="B125" s="317" t="s">
        <v>238</v>
      </c>
      <c r="C125" s="318">
        <f>SUM(F125:U125)</f>
        <v>19092.87916119532</v>
      </c>
      <c r="D125" s="319">
        <f>SUMPRODUCT(F124:U124,F125:U125)</f>
        <v>4372110.460131852</v>
      </c>
      <c r="E125" s="320" t="s">
        <v>232</v>
      </c>
      <c r="F125" s="321">
        <f t="shared" ref="F125:U125" si="28">E50</f>
        <v>1194.3152</v>
      </c>
      <c r="G125" s="321">
        <f t="shared" si="28"/>
        <v>1195.5314475325545</v>
      </c>
      <c r="H125" s="321">
        <f t="shared" si="28"/>
        <v>1195.5314475325545</v>
      </c>
      <c r="I125" s="321">
        <f t="shared" si="28"/>
        <v>1195.5314475325545</v>
      </c>
      <c r="J125" s="321">
        <f t="shared" si="28"/>
        <v>1195.5314475325545</v>
      </c>
      <c r="K125" s="321">
        <f t="shared" si="28"/>
        <v>1195.5314475325545</v>
      </c>
      <c r="L125" s="321">
        <f t="shared" si="28"/>
        <v>1195.5314475325545</v>
      </c>
      <c r="M125" s="321">
        <f t="shared" si="28"/>
        <v>1191.7083640000001</v>
      </c>
      <c r="N125" s="321">
        <f t="shared" si="28"/>
        <v>1191.7083640000001</v>
      </c>
      <c r="O125" s="321">
        <f t="shared" si="28"/>
        <v>1191.7083640000001</v>
      </c>
      <c r="P125" s="321">
        <f t="shared" si="28"/>
        <v>1191.7083640000001</v>
      </c>
      <c r="Q125" s="321">
        <f t="shared" si="28"/>
        <v>1191.7083640000001</v>
      </c>
      <c r="R125" s="321">
        <f t="shared" si="28"/>
        <v>1191.7083640000001</v>
      </c>
      <c r="S125" s="321">
        <f t="shared" si="28"/>
        <v>1191.7083640000001</v>
      </c>
      <c r="T125" s="321">
        <f t="shared" si="28"/>
        <v>1191.7083640000001</v>
      </c>
      <c r="U125" s="322">
        <f t="shared" si="28"/>
        <v>1191.7083640000001</v>
      </c>
      <c r="V125" s="50"/>
    </row>
    <row r="126" spans="1:22" s="1" customFormat="1" thickBot="1">
      <c r="A126" s="3"/>
      <c r="B126" s="95" t="s">
        <v>62</v>
      </c>
      <c r="C126" s="270" t="s">
        <v>240</v>
      </c>
      <c r="D126" s="270" t="s">
        <v>0</v>
      </c>
      <c r="E126" s="270" t="s">
        <v>241</v>
      </c>
      <c r="F126" s="270">
        <f>F123</f>
        <v>2021</v>
      </c>
      <c r="G126" s="270">
        <f t="shared" ref="G126:U126" si="29">G123</f>
        <v>2022</v>
      </c>
      <c r="H126" s="270">
        <f t="shared" si="29"/>
        <v>2023</v>
      </c>
      <c r="I126" s="270">
        <f t="shared" si="29"/>
        <v>2024</v>
      </c>
      <c r="J126" s="270">
        <f t="shared" si="29"/>
        <v>2025</v>
      </c>
      <c r="K126" s="270">
        <f t="shared" si="29"/>
        <v>2026</v>
      </c>
      <c r="L126" s="270">
        <f t="shared" si="29"/>
        <v>2027</v>
      </c>
      <c r="M126" s="270">
        <f t="shared" si="29"/>
        <v>2028</v>
      </c>
      <c r="N126" s="270">
        <f t="shared" si="29"/>
        <v>2029</v>
      </c>
      <c r="O126" s="270">
        <f t="shared" si="29"/>
        <v>2030</v>
      </c>
      <c r="P126" s="270">
        <f t="shared" si="29"/>
        <v>2031</v>
      </c>
      <c r="Q126" s="270">
        <f t="shared" si="29"/>
        <v>2032</v>
      </c>
      <c r="R126" s="270">
        <f t="shared" si="29"/>
        <v>2033</v>
      </c>
      <c r="S126" s="270">
        <f t="shared" si="29"/>
        <v>2034</v>
      </c>
      <c r="T126" s="270">
        <f t="shared" si="29"/>
        <v>2035</v>
      </c>
      <c r="U126" s="270">
        <f t="shared" si="29"/>
        <v>2036</v>
      </c>
    </row>
    <row r="127" spans="1:22" s="1" customFormat="1">
      <c r="A127" s="3"/>
      <c r="B127" s="311" t="s">
        <v>237</v>
      </c>
      <c r="C127" s="312">
        <f>AVERAGE(F128:U128)</f>
        <v>1.7810521605592653</v>
      </c>
      <c r="D127" s="313">
        <f>SUMPRODUCT(F127:U127,F128:U128)/COLUMNS(F127:U127)</f>
        <v>180343.62835495593</v>
      </c>
      <c r="E127" s="314" t="s">
        <v>236</v>
      </c>
      <c r="F127" s="315">
        <f>Założenia!E96</f>
        <v>79714.997380463887</v>
      </c>
      <c r="G127" s="315">
        <f>Założenia!F96</f>
        <v>82958.418120835689</v>
      </c>
      <c r="H127" s="315">
        <f>Założenia!G96</f>
        <v>86144.483984369945</v>
      </c>
      <c r="I127" s="315">
        <f>Założenia!H96</f>
        <v>88842.937942354823</v>
      </c>
      <c r="J127" s="315">
        <f>Założenia!I96</f>
        <v>91496.326912005505</v>
      </c>
      <c r="K127" s="315">
        <f>Założenia!J96</f>
        <v>94242.591826311735</v>
      </c>
      <c r="L127" s="315">
        <f>Założenia!K96</f>
        <v>97085.43512192824</v>
      </c>
      <c r="M127" s="315">
        <f>Założenia!L96</f>
        <v>99950.815866672914</v>
      </c>
      <c r="N127" s="315">
        <f>Założenia!M96</f>
        <v>102835.55294881284</v>
      </c>
      <c r="O127" s="315">
        <f>Założenia!N96</f>
        <v>105653.5409111366</v>
      </c>
      <c r="P127" s="315">
        <f>Założenia!O96</f>
        <v>108394.09656067959</v>
      </c>
      <c r="Q127" s="315">
        <f>Założenia!P96</f>
        <v>111135.92484754616</v>
      </c>
      <c r="R127" s="315">
        <f>Założenia!Q96</f>
        <v>113874.42991822689</v>
      </c>
      <c r="S127" s="315">
        <f>Założenia!R96</f>
        <v>116604.68149769701</v>
      </c>
      <c r="T127" s="315">
        <f>Założenia!S96</f>
        <v>119321.35959449633</v>
      </c>
      <c r="U127" s="316">
        <f>Założenia!T96</f>
        <v>122114.40710544567</v>
      </c>
      <c r="V127" s="50"/>
    </row>
    <row r="128" spans="1:22" s="1" customFormat="1" ht="13.5" thickBot="1">
      <c r="A128" s="3"/>
      <c r="B128" s="317" t="s">
        <v>238</v>
      </c>
      <c r="C128" s="318">
        <f>SUM(F128:U128)</f>
        <v>28.496834568948245</v>
      </c>
      <c r="D128" s="319">
        <f>SUMPRODUCT(F127:U127,F128:U128)</f>
        <v>2885498.0536792949</v>
      </c>
      <c r="E128" s="320" t="s">
        <v>232</v>
      </c>
      <c r="F128" s="321">
        <f t="shared" ref="F128:U128" si="30">E61</f>
        <v>1.7825600000000001</v>
      </c>
      <c r="G128" s="321">
        <f t="shared" si="30"/>
        <v>1.784375294824708</v>
      </c>
      <c r="H128" s="321">
        <f t="shared" si="30"/>
        <v>1.784375294824708</v>
      </c>
      <c r="I128" s="321">
        <f t="shared" si="30"/>
        <v>1.784375294824708</v>
      </c>
      <c r="J128" s="321">
        <f t="shared" si="30"/>
        <v>1.784375294824708</v>
      </c>
      <c r="K128" s="321">
        <f t="shared" si="30"/>
        <v>1.784375294824708</v>
      </c>
      <c r="L128" s="321">
        <f t="shared" si="30"/>
        <v>1.784375294824708</v>
      </c>
      <c r="M128" s="321">
        <f t="shared" si="30"/>
        <v>1.7786692</v>
      </c>
      <c r="N128" s="321">
        <f t="shared" si="30"/>
        <v>1.7786692</v>
      </c>
      <c r="O128" s="321">
        <f t="shared" si="30"/>
        <v>1.7786692</v>
      </c>
      <c r="P128" s="321">
        <f t="shared" si="30"/>
        <v>1.7786692</v>
      </c>
      <c r="Q128" s="321">
        <f t="shared" si="30"/>
        <v>1.7786692</v>
      </c>
      <c r="R128" s="321">
        <f t="shared" si="30"/>
        <v>1.7786692</v>
      </c>
      <c r="S128" s="321">
        <f t="shared" si="30"/>
        <v>1.7786692</v>
      </c>
      <c r="T128" s="321">
        <f t="shared" si="30"/>
        <v>1.7786692</v>
      </c>
      <c r="U128" s="322">
        <f t="shared" si="30"/>
        <v>1.7786692</v>
      </c>
      <c r="V128" s="50"/>
    </row>
    <row r="129" spans="1:22" s="1" customFormat="1" thickBot="1">
      <c r="A129" s="3"/>
      <c r="B129" s="95" t="s">
        <v>123</v>
      </c>
      <c r="C129" s="270" t="s">
        <v>240</v>
      </c>
      <c r="D129" s="270" t="s">
        <v>0</v>
      </c>
      <c r="E129" s="270" t="s">
        <v>241</v>
      </c>
      <c r="F129" s="270">
        <f>F126</f>
        <v>2021</v>
      </c>
      <c r="G129" s="270">
        <f t="shared" ref="G129:U129" si="31">G126</f>
        <v>2022</v>
      </c>
      <c r="H129" s="270">
        <f t="shared" si="31"/>
        <v>2023</v>
      </c>
      <c r="I129" s="270">
        <f t="shared" si="31"/>
        <v>2024</v>
      </c>
      <c r="J129" s="270">
        <f t="shared" si="31"/>
        <v>2025</v>
      </c>
      <c r="K129" s="270">
        <f t="shared" si="31"/>
        <v>2026</v>
      </c>
      <c r="L129" s="270">
        <f t="shared" si="31"/>
        <v>2027</v>
      </c>
      <c r="M129" s="270">
        <f t="shared" si="31"/>
        <v>2028</v>
      </c>
      <c r="N129" s="270">
        <f t="shared" si="31"/>
        <v>2029</v>
      </c>
      <c r="O129" s="270">
        <f t="shared" si="31"/>
        <v>2030</v>
      </c>
      <c r="P129" s="270">
        <f t="shared" si="31"/>
        <v>2031</v>
      </c>
      <c r="Q129" s="270">
        <f t="shared" si="31"/>
        <v>2032</v>
      </c>
      <c r="R129" s="270">
        <f t="shared" si="31"/>
        <v>2033</v>
      </c>
      <c r="S129" s="270">
        <f t="shared" si="31"/>
        <v>2034</v>
      </c>
      <c r="T129" s="270">
        <f t="shared" si="31"/>
        <v>2035</v>
      </c>
      <c r="U129" s="270">
        <f t="shared" si="31"/>
        <v>2036</v>
      </c>
    </row>
    <row r="130" spans="1:22" s="1" customFormat="1">
      <c r="A130" s="3"/>
      <c r="B130" s="311" t="s">
        <v>237</v>
      </c>
      <c r="C130" s="312">
        <f>AVERAGE(F131:U131)</f>
        <v>0.57884195218176149</v>
      </c>
      <c r="D130" s="313">
        <f>SUMPRODUCT(F130:U130,F131:U131)/COLUMNS(F130:U130)</f>
        <v>7321.0062322000331</v>
      </c>
      <c r="E130" s="314" t="s">
        <v>236</v>
      </c>
      <c r="F130" s="315">
        <f>Założenia!E97</f>
        <v>9956.9573920216171</v>
      </c>
      <c r="G130" s="315">
        <f>Założenia!F97</f>
        <v>10362.083192404516</v>
      </c>
      <c r="H130" s="315">
        <f>Założenia!G97</f>
        <v>10760.044969910135</v>
      </c>
      <c r="I130" s="315">
        <f>Założenia!H97</f>
        <v>11097.10063028669</v>
      </c>
      <c r="J130" s="315">
        <f>Założenia!I97</f>
        <v>11428.527360305585</v>
      </c>
      <c r="K130" s="315">
        <f>Założenia!J97</f>
        <v>11771.554941532759</v>
      </c>
      <c r="L130" s="315">
        <f>Założenia!K97</f>
        <v>12126.645834047609</v>
      </c>
      <c r="M130" s="315">
        <f>Założenia!L97</f>
        <v>12484.551810650375</v>
      </c>
      <c r="N130" s="315">
        <f>Założenia!M97</f>
        <v>12844.87552836891</v>
      </c>
      <c r="O130" s="315">
        <f>Założenia!N97</f>
        <v>13196.86181694858</v>
      </c>
      <c r="P130" s="315">
        <f>Założenia!O97</f>
        <v>13539.176271313112</v>
      </c>
      <c r="Q130" s="315">
        <f>Założenia!P97</f>
        <v>13881.649686927383</v>
      </c>
      <c r="R130" s="315">
        <f>Założenia!Q97</f>
        <v>14223.708009735352</v>
      </c>
      <c r="S130" s="315">
        <f>Założenia!R97</f>
        <v>14564.735414108647</v>
      </c>
      <c r="T130" s="315">
        <f>Założenia!S97</f>
        <v>14904.067396126607</v>
      </c>
      <c r="U130" s="316">
        <f>Założenia!T97</f>
        <v>15252.93844893091</v>
      </c>
      <c r="V130" s="50"/>
    </row>
    <row r="131" spans="1:22" s="1" customFormat="1" ht="13.5" thickBot="1">
      <c r="A131" s="3"/>
      <c r="B131" s="317" t="s">
        <v>238</v>
      </c>
      <c r="C131" s="318">
        <f>SUM(F131:U131)</f>
        <v>9.2614712349081838</v>
      </c>
      <c r="D131" s="319">
        <f>SUMPRODUCT(F130:U130,F131:U131)</f>
        <v>117136.09971520053</v>
      </c>
      <c r="E131" s="320" t="s">
        <v>232</v>
      </c>
      <c r="F131" s="321">
        <f t="shared" ref="F131:U131" si="32">E81</f>
        <v>0.57933199999999996</v>
      </c>
      <c r="G131" s="321">
        <f t="shared" si="32"/>
        <v>0.5799219708180301</v>
      </c>
      <c r="H131" s="321">
        <f t="shared" si="32"/>
        <v>0.5799219708180301</v>
      </c>
      <c r="I131" s="321">
        <f t="shared" si="32"/>
        <v>0.5799219708180301</v>
      </c>
      <c r="J131" s="321">
        <f t="shared" si="32"/>
        <v>0.5799219708180301</v>
      </c>
      <c r="K131" s="321">
        <f t="shared" si="32"/>
        <v>0.5799219708180301</v>
      </c>
      <c r="L131" s="321">
        <f t="shared" si="32"/>
        <v>0.5799219708180301</v>
      </c>
      <c r="M131" s="321">
        <f t="shared" si="32"/>
        <v>0.57806749000000002</v>
      </c>
      <c r="N131" s="321">
        <f t="shared" si="32"/>
        <v>0.57806749000000002</v>
      </c>
      <c r="O131" s="321">
        <f t="shared" si="32"/>
        <v>0.57806749000000002</v>
      </c>
      <c r="P131" s="321">
        <f t="shared" si="32"/>
        <v>0.57806749000000002</v>
      </c>
      <c r="Q131" s="321">
        <f t="shared" si="32"/>
        <v>0.57806749000000002</v>
      </c>
      <c r="R131" s="321">
        <f t="shared" si="32"/>
        <v>0.57806749000000002</v>
      </c>
      <c r="S131" s="321">
        <f t="shared" si="32"/>
        <v>0.57806749000000002</v>
      </c>
      <c r="T131" s="321">
        <f t="shared" si="32"/>
        <v>0.57806749000000002</v>
      </c>
      <c r="U131" s="322">
        <f t="shared" si="32"/>
        <v>0.57806749000000002</v>
      </c>
      <c r="V131" s="50"/>
    </row>
    <row r="132" spans="1:22" s="1" customFormat="1" thickBot="1">
      <c r="A132" s="3"/>
      <c r="B132" s="95" t="s">
        <v>63</v>
      </c>
      <c r="C132" s="270" t="s">
        <v>240</v>
      </c>
      <c r="D132" s="270" t="s">
        <v>0</v>
      </c>
      <c r="E132" s="270" t="s">
        <v>241</v>
      </c>
      <c r="F132" s="270">
        <f>F129</f>
        <v>2021</v>
      </c>
      <c r="G132" s="270">
        <f t="shared" ref="G132:U132" si="33">G129</f>
        <v>2022</v>
      </c>
      <c r="H132" s="270">
        <f t="shared" si="33"/>
        <v>2023</v>
      </c>
      <c r="I132" s="270">
        <f t="shared" si="33"/>
        <v>2024</v>
      </c>
      <c r="J132" s="270">
        <f t="shared" si="33"/>
        <v>2025</v>
      </c>
      <c r="K132" s="270">
        <f t="shared" si="33"/>
        <v>2026</v>
      </c>
      <c r="L132" s="270">
        <f t="shared" si="33"/>
        <v>2027</v>
      </c>
      <c r="M132" s="270">
        <f t="shared" si="33"/>
        <v>2028</v>
      </c>
      <c r="N132" s="270">
        <f t="shared" si="33"/>
        <v>2029</v>
      </c>
      <c r="O132" s="270">
        <f t="shared" si="33"/>
        <v>2030</v>
      </c>
      <c r="P132" s="270">
        <f t="shared" si="33"/>
        <v>2031</v>
      </c>
      <c r="Q132" s="270">
        <f t="shared" si="33"/>
        <v>2032</v>
      </c>
      <c r="R132" s="270">
        <f t="shared" si="33"/>
        <v>2033</v>
      </c>
      <c r="S132" s="270">
        <f t="shared" si="33"/>
        <v>2034</v>
      </c>
      <c r="T132" s="270">
        <f t="shared" si="33"/>
        <v>2035</v>
      </c>
      <c r="U132" s="270">
        <f t="shared" si="33"/>
        <v>2036</v>
      </c>
    </row>
    <row r="133" spans="1:22" s="1" customFormat="1">
      <c r="A133" s="3"/>
      <c r="B133" s="311" t="s">
        <v>237</v>
      </c>
      <c r="C133" s="515">
        <f>AVERAGE(F134:U134)</f>
        <v>4.4526304013981645E-2</v>
      </c>
      <c r="D133" s="313">
        <f>SUMPRODUCT(F133:U133,F134:U134)/COLUMNS(F133:U133)</f>
        <v>74322.61094489129</v>
      </c>
      <c r="E133" s="314" t="s">
        <v>236</v>
      </c>
      <c r="F133" s="315">
        <f>Założenia!E99</f>
        <v>1314075.0889452605</v>
      </c>
      <c r="G133" s="315">
        <f>Założenia!F99</f>
        <v>1367541.795812838</v>
      </c>
      <c r="H133" s="315">
        <f>Założenia!G99</f>
        <v>1420063.0267052737</v>
      </c>
      <c r="I133" s="315">
        <f>Założenia!H99</f>
        <v>1464546.1383075919</v>
      </c>
      <c r="J133" s="315">
        <f>Założenia!I99</f>
        <v>1508286.3686391378</v>
      </c>
      <c r="K133" s="315">
        <f>Założenia!J99</f>
        <v>1553557.6278767206</v>
      </c>
      <c r="L133" s="315">
        <f>Założenia!K99</f>
        <v>1600420.9494511404</v>
      </c>
      <c r="M133" s="315">
        <f>Założenia!L99</f>
        <v>1647655.7933418229</v>
      </c>
      <c r="N133" s="315">
        <f>Założenia!M99</f>
        <v>1695209.7199850639</v>
      </c>
      <c r="O133" s="315">
        <f>Założenia!N99</f>
        <v>1741663.3096974657</v>
      </c>
      <c r="P133" s="315">
        <f>Założenia!O99</f>
        <v>1786840.4536136147</v>
      </c>
      <c r="Q133" s="315">
        <f>Założenia!P99</f>
        <v>1832038.5765306936</v>
      </c>
      <c r="R133" s="315">
        <f>Założenia!Q99</f>
        <v>1877181.9173396558</v>
      </c>
      <c r="S133" s="315">
        <f>Założenia!R99</f>
        <v>1922189.2021045473</v>
      </c>
      <c r="T133" s="315">
        <f>Założenia!S99</f>
        <v>1966972.7325442298</v>
      </c>
      <c r="U133" s="316">
        <f>Założenia!T99</f>
        <v>2013015.1872514868</v>
      </c>
      <c r="V133" s="50"/>
    </row>
    <row r="134" spans="1:22" s="1" customFormat="1" ht="13.5" thickBot="1">
      <c r="A134" s="3"/>
      <c r="B134" s="317" t="s">
        <v>238</v>
      </c>
      <c r="C134" s="318">
        <f>SUM(F134:U134)</f>
        <v>0.71242086422370632</v>
      </c>
      <c r="D134" s="319">
        <f>SUMPRODUCT(F133:U133,F134:U134)</f>
        <v>1189161.7751182606</v>
      </c>
      <c r="E134" s="320" t="s">
        <v>232</v>
      </c>
      <c r="F134" s="321">
        <f t="shared" ref="F134:U134" si="34">E71</f>
        <v>4.4564000000000006E-2</v>
      </c>
      <c r="G134" s="321">
        <f t="shared" si="34"/>
        <v>4.4609382370617706E-2</v>
      </c>
      <c r="H134" s="321">
        <f t="shared" si="34"/>
        <v>4.4609382370617706E-2</v>
      </c>
      <c r="I134" s="321">
        <f t="shared" si="34"/>
        <v>4.4609382370617706E-2</v>
      </c>
      <c r="J134" s="321">
        <f t="shared" si="34"/>
        <v>4.4609382370617706E-2</v>
      </c>
      <c r="K134" s="321">
        <f t="shared" si="34"/>
        <v>4.4609382370617706E-2</v>
      </c>
      <c r="L134" s="321">
        <f t="shared" si="34"/>
        <v>4.4609382370617706E-2</v>
      </c>
      <c r="M134" s="321">
        <f t="shared" si="34"/>
        <v>4.446673000000001E-2</v>
      </c>
      <c r="N134" s="321">
        <f t="shared" si="34"/>
        <v>4.446673000000001E-2</v>
      </c>
      <c r="O134" s="321">
        <f t="shared" si="34"/>
        <v>4.446673000000001E-2</v>
      </c>
      <c r="P134" s="321">
        <f t="shared" si="34"/>
        <v>4.446673000000001E-2</v>
      </c>
      <c r="Q134" s="321">
        <f t="shared" si="34"/>
        <v>4.446673000000001E-2</v>
      </c>
      <c r="R134" s="321">
        <f t="shared" si="34"/>
        <v>4.446673000000001E-2</v>
      </c>
      <c r="S134" s="321">
        <f t="shared" si="34"/>
        <v>4.446673000000001E-2</v>
      </c>
      <c r="T134" s="321">
        <f t="shared" si="34"/>
        <v>4.446673000000001E-2</v>
      </c>
      <c r="U134" s="322">
        <f t="shared" si="34"/>
        <v>4.446673000000001E-2</v>
      </c>
      <c r="V134" s="50"/>
    </row>
    <row r="135" spans="1:22" s="1" customFormat="1">
      <c r="A135" s="64"/>
      <c r="B135" s="77"/>
      <c r="C135" s="50"/>
      <c r="D135" s="50"/>
      <c r="E135" s="50"/>
      <c r="F135" s="65"/>
      <c r="G135" s="50"/>
      <c r="H135" s="54"/>
      <c r="I135" s="55"/>
    </row>
    <row r="136" spans="1:22" s="1" customFormat="1">
      <c r="A136" s="64"/>
      <c r="B136" s="77"/>
      <c r="C136" s="50"/>
      <c r="D136" s="50"/>
      <c r="E136" s="50"/>
      <c r="F136" s="65"/>
      <c r="G136" s="50"/>
      <c r="H136" s="54"/>
      <c r="I136" s="55"/>
    </row>
    <row r="137" spans="1:22" s="1" customFormat="1">
      <c r="A137" s="64"/>
      <c r="B137" s="77"/>
      <c r="C137" s="50"/>
      <c r="D137" s="50"/>
      <c r="E137" s="50"/>
      <c r="F137" s="65"/>
      <c r="G137" s="50"/>
      <c r="H137" s="54"/>
      <c r="I137" s="55"/>
    </row>
    <row r="138" spans="1:22" s="1" customFormat="1">
      <c r="A138" s="64"/>
      <c r="B138" s="77"/>
      <c r="C138" s="50"/>
      <c r="D138" s="50"/>
      <c r="E138" s="50"/>
      <c r="F138" s="65"/>
      <c r="G138" s="50"/>
      <c r="H138" s="54"/>
      <c r="I138" s="55"/>
    </row>
    <row r="139" spans="1:22" s="1" customFormat="1">
      <c r="A139" s="64"/>
      <c r="B139" s="77"/>
      <c r="C139" s="50"/>
      <c r="D139" s="50"/>
      <c r="E139" s="50"/>
      <c r="F139" s="65"/>
      <c r="G139" s="50"/>
      <c r="H139" s="54"/>
      <c r="I139" s="55"/>
    </row>
    <row r="140" spans="1:22" s="1" customFormat="1">
      <c r="A140" s="64"/>
      <c r="B140" s="77"/>
      <c r="C140" s="50"/>
      <c r="D140" s="50"/>
      <c r="E140" s="50"/>
      <c r="F140" s="65"/>
      <c r="G140" s="50"/>
      <c r="H140" s="54"/>
      <c r="I140" s="55"/>
    </row>
    <row r="141" spans="1:22" s="1" customFormat="1">
      <c r="A141" s="64"/>
      <c r="B141" s="77"/>
      <c r="C141" s="50"/>
      <c r="D141" s="50"/>
      <c r="E141" s="50"/>
      <c r="F141" s="65"/>
      <c r="G141" s="50"/>
      <c r="H141" s="54"/>
      <c r="I141" s="55"/>
    </row>
    <row r="142" spans="1:22" s="1" customFormat="1">
      <c r="A142" s="64"/>
      <c r="B142" s="77"/>
      <c r="C142" s="50"/>
      <c r="D142" s="50"/>
      <c r="E142" s="50"/>
      <c r="F142" s="65"/>
      <c r="G142" s="50"/>
      <c r="H142" s="54"/>
      <c r="I142" s="55"/>
    </row>
    <row r="143" spans="1:22" s="1" customFormat="1">
      <c r="A143" s="64"/>
      <c r="B143" s="77"/>
      <c r="C143" s="50"/>
      <c r="D143" s="50"/>
      <c r="E143" s="50"/>
      <c r="F143" s="65"/>
      <c r="G143" s="50"/>
      <c r="H143" s="54"/>
      <c r="I143" s="55"/>
    </row>
    <row r="144" spans="1:22" s="1" customFormat="1">
      <c r="A144" s="64"/>
      <c r="B144" s="77"/>
      <c r="C144" s="50"/>
      <c r="D144" s="50"/>
      <c r="E144" s="50"/>
      <c r="F144" s="65"/>
      <c r="G144" s="50"/>
      <c r="H144" s="54"/>
      <c r="I144" s="55"/>
    </row>
    <row r="145" spans="1:9" s="1" customFormat="1">
      <c r="A145" s="82"/>
      <c r="B145" s="56"/>
      <c r="C145" s="56"/>
      <c r="D145" s="56"/>
      <c r="E145" s="56"/>
      <c r="F145" s="56"/>
      <c r="G145" s="56"/>
      <c r="H145" s="56"/>
      <c r="I145" s="56"/>
    </row>
    <row r="146" spans="1:9" s="1" customFormat="1">
      <c r="A146" s="36"/>
      <c r="B146" s="50"/>
      <c r="C146" s="50"/>
      <c r="D146" s="50"/>
      <c r="E146" s="50"/>
      <c r="F146" s="36"/>
      <c r="G146" s="36"/>
      <c r="H146" s="36"/>
      <c r="I146" s="36"/>
    </row>
    <row r="147" spans="1:9" s="1" customFormat="1">
      <c r="A147" s="36"/>
      <c r="B147" s="36"/>
      <c r="C147" s="78"/>
      <c r="D147" s="78"/>
      <c r="E147" s="79"/>
      <c r="F147" s="80"/>
      <c r="G147" s="78"/>
      <c r="H147" s="36"/>
      <c r="I147" s="81"/>
    </row>
    <row r="148" spans="1:9" s="1" customFormat="1" ht="12">
      <c r="A148" s="4"/>
      <c r="B148" s="4"/>
      <c r="C148" s="4"/>
      <c r="D148" s="4"/>
      <c r="E148" s="4"/>
      <c r="F148" s="4"/>
      <c r="G148" s="4"/>
      <c r="H148" s="4"/>
      <c r="I148" s="4"/>
    </row>
    <row r="149" spans="1:9" s="1" customFormat="1" ht="12">
      <c r="A149" s="4"/>
      <c r="B149" s="4"/>
      <c r="C149" s="4"/>
      <c r="D149" s="4"/>
      <c r="E149" s="4"/>
      <c r="F149" s="4"/>
      <c r="G149" s="4"/>
      <c r="H149" s="4"/>
      <c r="I149" s="4"/>
    </row>
    <row r="150" spans="1:9" s="1" customFormat="1" ht="30.75" customHeight="1">
      <c r="A150" s="618"/>
      <c r="B150" s="668"/>
      <c r="C150" s="668"/>
      <c r="D150" s="522"/>
      <c r="E150" s="57"/>
      <c r="F150" s="57"/>
      <c r="G150" s="57"/>
      <c r="H150" s="57"/>
      <c r="I150" s="57"/>
    </row>
    <row r="151" spans="1:9" s="1" customFormat="1">
      <c r="A151" s="68"/>
      <c r="B151" s="68"/>
      <c r="C151" s="68"/>
      <c r="D151" s="68"/>
      <c r="E151" s="68"/>
      <c r="F151" s="68"/>
      <c r="G151" s="69"/>
      <c r="H151" s="69"/>
      <c r="I151" s="615"/>
    </row>
    <row r="152" spans="1:9" s="1" customFormat="1">
      <c r="A152" s="68"/>
      <c r="B152" s="68"/>
      <c r="C152" s="68"/>
      <c r="D152" s="68"/>
      <c r="E152" s="68"/>
      <c r="F152" s="68"/>
      <c r="G152" s="69"/>
      <c r="H152" s="69"/>
      <c r="I152" s="615"/>
    </row>
    <row r="153" spans="1:9" s="1" customFormat="1">
      <c r="A153" s="36"/>
      <c r="B153" s="36"/>
      <c r="C153" s="36"/>
      <c r="D153" s="36"/>
      <c r="E153" s="36"/>
      <c r="F153" s="36"/>
      <c r="G153" s="36"/>
      <c r="H153" s="50"/>
      <c r="I153" s="36"/>
    </row>
    <row r="154" spans="1:9" s="1" customFormat="1">
      <c r="A154" s="36"/>
      <c r="B154" s="36"/>
      <c r="C154" s="36"/>
      <c r="D154" s="36"/>
      <c r="E154" s="36"/>
      <c r="F154" s="36"/>
      <c r="G154" s="58"/>
      <c r="H154" s="70"/>
      <c r="I154" s="50"/>
    </row>
    <row r="155" spans="1:9" s="1" customFormat="1">
      <c r="A155" s="36"/>
      <c r="B155" s="36"/>
      <c r="C155" s="36"/>
      <c r="D155" s="36"/>
      <c r="E155" s="36"/>
      <c r="F155" s="36"/>
      <c r="G155" s="59"/>
      <c r="H155" s="70"/>
      <c r="I155" s="50"/>
    </row>
    <row r="156" spans="1:9" s="1" customFormat="1">
      <c r="A156" s="36"/>
      <c r="B156" s="36"/>
      <c r="C156" s="36"/>
      <c r="D156" s="36"/>
      <c r="E156" s="36"/>
      <c r="F156" s="36"/>
      <c r="G156" s="60"/>
      <c r="H156" s="70"/>
      <c r="I156" s="50"/>
    </row>
    <row r="157" spans="1:9" s="1" customFormat="1">
      <c r="A157" s="36"/>
      <c r="B157" s="36"/>
      <c r="C157" s="36"/>
      <c r="D157" s="36"/>
      <c r="E157" s="36"/>
      <c r="F157" s="36"/>
      <c r="G157" s="60"/>
      <c r="H157" s="70"/>
      <c r="I157" s="50"/>
    </row>
    <row r="158" spans="1:9" s="1" customFormat="1">
      <c r="A158" s="36"/>
      <c r="B158" s="36"/>
      <c r="C158" s="36"/>
      <c r="D158" s="36"/>
      <c r="E158" s="36"/>
      <c r="F158" s="36"/>
      <c r="G158" s="60"/>
      <c r="H158" s="70"/>
      <c r="I158" s="50"/>
    </row>
    <row r="159" spans="1:9" s="1" customFormat="1">
      <c r="A159" s="36"/>
      <c r="B159" s="36"/>
      <c r="C159" s="36"/>
      <c r="D159" s="36"/>
      <c r="E159" s="36"/>
      <c r="F159" s="36"/>
      <c r="G159" s="60"/>
      <c r="H159" s="70"/>
      <c r="I159" s="50"/>
    </row>
    <row r="160" spans="1:9" s="1" customFormat="1">
      <c r="A160" s="36"/>
      <c r="B160" s="36"/>
      <c r="C160" s="36"/>
      <c r="D160" s="36"/>
      <c r="E160" s="36"/>
      <c r="F160" s="36"/>
      <c r="G160" s="36"/>
      <c r="H160" s="36"/>
      <c r="I160" s="36"/>
    </row>
    <row r="161" spans="1:9" s="1" customFormat="1">
      <c r="A161" s="68"/>
      <c r="B161" s="68"/>
      <c r="C161" s="68"/>
      <c r="D161" s="68"/>
      <c r="E161" s="68"/>
      <c r="F161" s="68"/>
      <c r="G161" s="622"/>
      <c r="H161" s="71"/>
      <c r="I161" s="71"/>
    </row>
    <row r="162" spans="1:9" s="1" customFormat="1">
      <c r="A162" s="68"/>
      <c r="B162" s="68"/>
      <c r="C162" s="68"/>
      <c r="D162" s="68"/>
      <c r="E162" s="68"/>
      <c r="F162" s="68"/>
      <c r="G162" s="622"/>
      <c r="H162" s="71"/>
      <c r="I162" s="71"/>
    </row>
    <row r="163" spans="1:9" s="1" customFormat="1">
      <c r="A163" s="61"/>
      <c r="B163" s="36"/>
      <c r="C163" s="62"/>
      <c r="D163" s="62"/>
      <c r="E163" s="62"/>
      <c r="F163" s="36"/>
      <c r="G163" s="62"/>
      <c r="H163" s="72"/>
      <c r="I163" s="50"/>
    </row>
    <row r="164" spans="1:9" s="1" customFormat="1">
      <c r="A164" s="36"/>
      <c r="B164" s="36"/>
      <c r="C164" s="36"/>
      <c r="D164" s="36"/>
      <c r="E164" s="36"/>
      <c r="F164" s="36"/>
      <c r="G164" s="50"/>
      <c r="H164" s="50"/>
      <c r="I164" s="70"/>
    </row>
    <row r="165" spans="1:9" s="1" customFormat="1">
      <c r="A165" s="36"/>
      <c r="B165" s="36"/>
      <c r="C165" s="36"/>
      <c r="D165" s="36"/>
      <c r="E165" s="36"/>
      <c r="F165" s="36"/>
      <c r="G165" s="70"/>
      <c r="H165" s="50"/>
      <c r="I165" s="50"/>
    </row>
    <row r="166" spans="1:9" s="1" customFormat="1">
      <c r="A166" s="36"/>
      <c r="B166" s="36"/>
      <c r="C166" s="36"/>
      <c r="D166" s="36"/>
      <c r="E166" s="36"/>
      <c r="F166" s="36"/>
      <c r="G166" s="47"/>
      <c r="H166" s="50"/>
      <c r="I166" s="50"/>
    </row>
    <row r="167" spans="1:9" s="1" customFormat="1">
      <c r="A167" s="36"/>
      <c r="B167" s="36"/>
      <c r="C167" s="36"/>
      <c r="D167" s="36"/>
      <c r="E167" s="36"/>
      <c r="F167" s="36"/>
      <c r="G167" s="73"/>
      <c r="H167" s="50"/>
      <c r="I167" s="50"/>
    </row>
    <row r="168" spans="1:9" s="1" customFormat="1">
      <c r="A168" s="36"/>
      <c r="B168" s="36"/>
      <c r="C168" s="36"/>
      <c r="D168" s="36"/>
      <c r="E168" s="36"/>
      <c r="F168" s="50"/>
      <c r="G168" s="36"/>
      <c r="H168" s="36"/>
      <c r="I168" s="36"/>
    </row>
    <row r="169" spans="1:9" s="1" customFormat="1">
      <c r="A169" s="63"/>
      <c r="B169" s="36"/>
      <c r="C169" s="36"/>
      <c r="D169" s="36"/>
      <c r="E169" s="36"/>
      <c r="F169" s="50"/>
      <c r="G169" s="36"/>
      <c r="H169" s="36"/>
      <c r="I169" s="36"/>
    </row>
    <row r="170" spans="1:9" s="1" customFormat="1">
      <c r="A170" s="36"/>
      <c r="B170" s="74"/>
      <c r="C170" s="36"/>
      <c r="D170" s="36"/>
      <c r="E170" s="36"/>
      <c r="F170" s="36"/>
      <c r="G170" s="36"/>
      <c r="H170" s="36"/>
      <c r="I170" s="36"/>
    </row>
    <row r="171" spans="1:9" s="1" customFormat="1">
      <c r="A171" s="619"/>
      <c r="B171" s="521"/>
      <c r="C171" s="521"/>
      <c r="D171" s="521"/>
      <c r="E171" s="619"/>
      <c r="F171" s="619"/>
      <c r="G171" s="619"/>
      <c r="H171" s="619"/>
      <c r="I171" s="619"/>
    </row>
    <row r="172" spans="1:9" s="1" customFormat="1">
      <c r="A172" s="619"/>
      <c r="B172" s="521"/>
      <c r="C172" s="521"/>
      <c r="D172" s="521"/>
      <c r="E172" s="521"/>
      <c r="F172" s="521"/>
      <c r="G172" s="620"/>
      <c r="H172" s="620"/>
      <c r="I172" s="620"/>
    </row>
    <row r="173" spans="1:9" s="1" customFormat="1">
      <c r="A173" s="64"/>
      <c r="B173" s="76"/>
      <c r="C173" s="50"/>
      <c r="D173" s="50"/>
      <c r="E173" s="50"/>
      <c r="F173" s="65"/>
      <c r="G173" s="50"/>
      <c r="H173" s="50"/>
      <c r="I173" s="55"/>
    </row>
    <row r="174" spans="1:9" s="1" customFormat="1">
      <c r="A174" s="64"/>
      <c r="B174" s="76"/>
      <c r="C174" s="50"/>
      <c r="D174" s="50"/>
      <c r="E174" s="50"/>
      <c r="F174" s="65"/>
      <c r="G174" s="50"/>
      <c r="H174" s="54"/>
      <c r="I174" s="55"/>
    </row>
    <row r="175" spans="1:9" s="1" customFormat="1">
      <c r="A175" s="64"/>
      <c r="B175" s="76"/>
      <c r="C175" s="50"/>
      <c r="D175" s="50"/>
      <c r="E175" s="50"/>
      <c r="F175" s="65"/>
      <c r="G175" s="50"/>
      <c r="H175" s="54"/>
      <c r="I175" s="36"/>
    </row>
    <row r="176" spans="1:9" s="1" customFormat="1">
      <c r="A176" s="64"/>
      <c r="B176" s="76"/>
      <c r="C176" s="50"/>
      <c r="D176" s="50"/>
      <c r="E176" s="50"/>
      <c r="F176" s="65"/>
      <c r="G176" s="50"/>
      <c r="H176" s="54"/>
      <c r="I176" s="55"/>
    </row>
    <row r="177" spans="1:9" s="1" customFormat="1">
      <c r="A177" s="64"/>
      <c r="B177" s="77"/>
      <c r="C177" s="50"/>
      <c r="D177" s="50"/>
      <c r="E177" s="50"/>
      <c r="F177" s="65"/>
      <c r="G177" s="50"/>
      <c r="H177" s="54"/>
      <c r="I177" s="55"/>
    </row>
    <row r="178" spans="1:9" s="1" customFormat="1">
      <c r="A178" s="64"/>
      <c r="B178" s="77"/>
      <c r="C178" s="50"/>
      <c r="D178" s="50"/>
      <c r="E178" s="50"/>
      <c r="F178" s="65"/>
      <c r="G178" s="50"/>
      <c r="H178" s="54"/>
      <c r="I178" s="55"/>
    </row>
    <row r="179" spans="1:9" s="1" customFormat="1">
      <c r="A179" s="64"/>
      <c r="B179" s="77"/>
      <c r="C179" s="50"/>
      <c r="D179" s="50"/>
      <c r="E179" s="50"/>
      <c r="F179" s="65"/>
      <c r="G179" s="50"/>
      <c r="H179" s="54"/>
      <c r="I179" s="55"/>
    </row>
    <row r="180" spans="1:9" s="1" customFormat="1">
      <c r="A180" s="64"/>
      <c r="B180" s="77"/>
      <c r="C180" s="50"/>
      <c r="D180" s="50"/>
      <c r="E180" s="50"/>
      <c r="F180" s="65"/>
      <c r="G180" s="50"/>
      <c r="H180" s="54"/>
      <c r="I180" s="55"/>
    </row>
    <row r="181" spans="1:9" s="1" customFormat="1">
      <c r="A181" s="64"/>
      <c r="B181" s="77"/>
      <c r="C181" s="50"/>
      <c r="D181" s="50"/>
      <c r="E181" s="50"/>
      <c r="F181" s="65"/>
      <c r="G181" s="50"/>
      <c r="H181" s="54"/>
      <c r="I181" s="55"/>
    </row>
    <row r="182" spans="1:9" s="1" customFormat="1">
      <c r="A182" s="64"/>
      <c r="B182" s="77"/>
      <c r="C182" s="50"/>
      <c r="D182" s="50"/>
      <c r="E182" s="50"/>
      <c r="F182" s="65"/>
      <c r="G182" s="50"/>
      <c r="H182" s="54"/>
      <c r="I182" s="55"/>
    </row>
    <row r="183" spans="1:9" s="1" customFormat="1">
      <c r="A183" s="64"/>
      <c r="B183" s="77"/>
      <c r="C183" s="50"/>
      <c r="D183" s="50"/>
      <c r="E183" s="50"/>
      <c r="F183" s="65"/>
      <c r="G183" s="50"/>
      <c r="H183" s="54"/>
      <c r="I183" s="55"/>
    </row>
    <row r="184" spans="1:9" s="1" customFormat="1">
      <c r="A184" s="64"/>
      <c r="B184" s="77"/>
      <c r="C184" s="50"/>
      <c r="D184" s="50"/>
      <c r="E184" s="50"/>
      <c r="F184" s="65"/>
      <c r="G184" s="50"/>
      <c r="H184" s="54"/>
      <c r="I184" s="55"/>
    </row>
    <row r="185" spans="1:9" s="1" customFormat="1">
      <c r="A185" s="64"/>
      <c r="B185" s="77"/>
      <c r="C185" s="50"/>
      <c r="D185" s="50"/>
      <c r="E185" s="50"/>
      <c r="F185" s="65"/>
      <c r="G185" s="50"/>
      <c r="H185" s="54"/>
      <c r="I185" s="55"/>
    </row>
    <row r="186" spans="1:9" s="1" customFormat="1">
      <c r="A186" s="64"/>
      <c r="B186" s="77"/>
      <c r="C186" s="50"/>
      <c r="D186" s="50"/>
      <c r="E186" s="50"/>
      <c r="F186" s="65"/>
      <c r="G186" s="50"/>
      <c r="H186" s="54"/>
      <c r="I186" s="55"/>
    </row>
    <row r="187" spans="1:9" s="1" customFormat="1">
      <c r="A187" s="64"/>
      <c r="B187" s="77"/>
      <c r="C187" s="50"/>
      <c r="D187" s="50"/>
      <c r="E187" s="50"/>
      <c r="F187" s="65"/>
      <c r="G187" s="50"/>
      <c r="H187" s="54"/>
      <c r="I187" s="55"/>
    </row>
    <row r="188" spans="1:9" s="1" customFormat="1">
      <c r="A188" s="64"/>
      <c r="B188" s="77"/>
      <c r="C188" s="50"/>
      <c r="D188" s="50"/>
      <c r="E188" s="50"/>
      <c r="F188" s="65"/>
      <c r="G188" s="50"/>
      <c r="H188" s="54"/>
      <c r="I188" s="55"/>
    </row>
    <row r="189" spans="1:9" s="1" customFormat="1">
      <c r="A189" s="64"/>
      <c r="B189" s="77"/>
      <c r="C189" s="50"/>
      <c r="D189" s="50"/>
      <c r="E189" s="50"/>
      <c r="F189" s="65"/>
      <c r="G189" s="50"/>
      <c r="H189" s="54"/>
      <c r="I189" s="55"/>
    </row>
    <row r="190" spans="1:9" s="1" customFormat="1">
      <c r="A190" s="64"/>
      <c r="B190" s="77"/>
      <c r="C190" s="50"/>
      <c r="D190" s="50"/>
      <c r="E190" s="50"/>
      <c r="F190" s="65"/>
      <c r="G190" s="50"/>
      <c r="H190" s="54"/>
      <c r="I190" s="55"/>
    </row>
    <row r="191" spans="1:9" s="1" customFormat="1">
      <c r="A191" s="64"/>
      <c r="B191" s="77"/>
      <c r="C191" s="50"/>
      <c r="D191" s="50"/>
      <c r="E191" s="50"/>
      <c r="F191" s="65"/>
      <c r="G191" s="50"/>
      <c r="H191" s="54"/>
      <c r="I191" s="55"/>
    </row>
    <row r="192" spans="1:9" s="1" customFormat="1">
      <c r="A192" s="64"/>
      <c r="B192" s="77"/>
      <c r="C192" s="50"/>
      <c r="D192" s="50"/>
      <c r="E192" s="50"/>
      <c r="F192" s="65"/>
      <c r="G192" s="50"/>
      <c r="H192" s="54"/>
      <c r="I192" s="55"/>
    </row>
    <row r="193" spans="1:9" s="1" customFormat="1">
      <c r="A193" s="64"/>
      <c r="B193" s="77"/>
      <c r="C193" s="50"/>
      <c r="D193" s="50"/>
      <c r="E193" s="50"/>
      <c r="F193" s="65"/>
      <c r="G193" s="50"/>
      <c r="H193" s="54"/>
      <c r="I193" s="55"/>
    </row>
    <row r="194" spans="1:9" s="1" customFormat="1">
      <c r="A194" s="64"/>
      <c r="B194" s="77"/>
      <c r="C194" s="50"/>
      <c r="D194" s="50"/>
      <c r="E194" s="50"/>
      <c r="F194" s="65"/>
      <c r="G194" s="50"/>
      <c r="H194" s="54"/>
      <c r="I194" s="55"/>
    </row>
    <row r="195" spans="1:9" s="1" customFormat="1">
      <c r="A195" s="64"/>
      <c r="B195" s="77"/>
      <c r="C195" s="50"/>
      <c r="D195" s="50"/>
      <c r="E195" s="50"/>
      <c r="F195" s="65"/>
      <c r="G195" s="50"/>
      <c r="H195" s="54"/>
      <c r="I195" s="55"/>
    </row>
    <row r="196" spans="1:9" s="1" customFormat="1">
      <c r="A196" s="64"/>
      <c r="B196" s="77"/>
      <c r="C196" s="50"/>
      <c r="D196" s="50"/>
      <c r="E196" s="50"/>
      <c r="F196" s="65"/>
      <c r="G196" s="50"/>
      <c r="H196" s="54"/>
      <c r="I196" s="55"/>
    </row>
    <row r="197" spans="1:9" s="1" customFormat="1">
      <c r="A197" s="64"/>
      <c r="B197" s="77"/>
      <c r="C197" s="50"/>
      <c r="D197" s="50"/>
      <c r="E197" s="50"/>
      <c r="F197" s="65"/>
      <c r="G197" s="50"/>
      <c r="H197" s="54"/>
      <c r="I197" s="55"/>
    </row>
    <row r="198" spans="1:9" s="1" customFormat="1">
      <c r="A198" s="82"/>
      <c r="B198" s="56"/>
      <c r="C198" s="56"/>
      <c r="D198" s="56"/>
      <c r="E198" s="56"/>
      <c r="F198" s="56"/>
      <c r="G198" s="56"/>
      <c r="H198" s="56"/>
      <c r="I198" s="56"/>
    </row>
    <row r="199" spans="1:9" s="1" customFormat="1">
      <c r="A199" s="36"/>
      <c r="B199" s="50"/>
      <c r="C199" s="50"/>
      <c r="D199" s="50"/>
      <c r="E199" s="50"/>
      <c r="F199" s="36"/>
      <c r="G199" s="36"/>
      <c r="H199" s="36"/>
      <c r="I199" s="36"/>
    </row>
    <row r="200" spans="1:9" s="1" customFormat="1">
      <c r="A200" s="36"/>
      <c r="B200" s="36"/>
      <c r="C200" s="78"/>
      <c r="D200" s="78"/>
      <c r="E200" s="79"/>
      <c r="F200" s="80"/>
      <c r="G200" s="78"/>
      <c r="H200" s="36"/>
      <c r="I200" s="81"/>
    </row>
    <row r="201" spans="1:9" s="1" customFormat="1" ht="12">
      <c r="A201" s="4"/>
      <c r="B201" s="4"/>
      <c r="C201" s="4"/>
      <c r="D201" s="4"/>
      <c r="E201" s="4"/>
      <c r="F201" s="4"/>
      <c r="G201" s="4"/>
      <c r="H201" s="4"/>
      <c r="I201" s="4"/>
    </row>
    <row r="202" spans="1:9" s="1" customFormat="1" ht="20.25">
      <c r="A202" s="66"/>
      <c r="B202" s="67"/>
      <c r="C202" s="4"/>
      <c r="D202" s="4"/>
      <c r="E202" s="4"/>
      <c r="F202" s="4"/>
      <c r="G202" s="57"/>
      <c r="H202" s="57"/>
      <c r="I202" s="57"/>
    </row>
    <row r="203" spans="1:9" s="1" customFormat="1" ht="20.25">
      <c r="A203" s="57"/>
      <c r="B203" s="57"/>
      <c r="C203" s="57"/>
      <c r="D203" s="57"/>
      <c r="E203" s="57"/>
      <c r="F203" s="57"/>
      <c r="G203" s="57"/>
      <c r="H203" s="57"/>
      <c r="I203" s="57"/>
    </row>
    <row r="204" spans="1:9" s="1" customFormat="1" ht="33" customHeight="1">
      <c r="A204" s="618"/>
      <c r="B204" s="668"/>
      <c r="C204" s="668"/>
      <c r="D204" s="522"/>
      <c r="E204" s="57"/>
      <c r="F204" s="57"/>
      <c r="G204" s="57"/>
      <c r="H204" s="57"/>
      <c r="I204" s="57"/>
    </row>
    <row r="205" spans="1:9" s="1" customFormat="1">
      <c r="A205" s="68"/>
      <c r="B205" s="68"/>
      <c r="C205" s="68"/>
      <c r="D205" s="68"/>
      <c r="E205" s="68"/>
      <c r="F205" s="68"/>
      <c r="G205" s="69"/>
      <c r="H205" s="69"/>
      <c r="I205" s="615"/>
    </row>
    <row r="206" spans="1:9" s="1" customFormat="1">
      <c r="A206" s="68"/>
      <c r="B206" s="68"/>
      <c r="C206" s="68"/>
      <c r="D206" s="68"/>
      <c r="E206" s="68"/>
      <c r="F206" s="68"/>
      <c r="G206" s="69"/>
      <c r="H206" s="69"/>
      <c r="I206" s="615"/>
    </row>
    <row r="207" spans="1:9" s="1" customFormat="1">
      <c r="A207" s="36"/>
      <c r="B207" s="36"/>
      <c r="C207" s="36"/>
      <c r="D207" s="36"/>
      <c r="E207" s="36"/>
      <c r="F207" s="36"/>
      <c r="G207" s="36"/>
      <c r="H207" s="50"/>
      <c r="I207" s="36"/>
    </row>
    <row r="208" spans="1:9" s="1" customFormat="1">
      <c r="A208" s="36"/>
      <c r="B208" s="36"/>
      <c r="C208" s="36"/>
      <c r="D208" s="36"/>
      <c r="E208" s="36"/>
      <c r="F208" s="36"/>
      <c r="G208" s="58"/>
      <c r="H208" s="70"/>
      <c r="I208" s="50"/>
    </row>
    <row r="209" spans="1:9" s="1" customFormat="1">
      <c r="A209" s="36"/>
      <c r="B209" s="36"/>
      <c r="C209" s="36"/>
      <c r="D209" s="36"/>
      <c r="E209" s="36"/>
      <c r="F209" s="36"/>
      <c r="G209" s="59"/>
      <c r="H209" s="70"/>
      <c r="I209" s="50"/>
    </row>
    <row r="210" spans="1:9" s="1" customFormat="1">
      <c r="A210" s="36"/>
      <c r="B210" s="36"/>
      <c r="C210" s="36"/>
      <c r="D210" s="36"/>
      <c r="E210" s="36"/>
      <c r="F210" s="36"/>
      <c r="G210" s="60"/>
      <c r="H210" s="70"/>
      <c r="I210" s="50"/>
    </row>
    <row r="211" spans="1:9" s="1" customFormat="1">
      <c r="A211" s="36"/>
      <c r="B211" s="36"/>
      <c r="C211" s="36"/>
      <c r="D211" s="36"/>
      <c r="E211" s="36"/>
      <c r="F211" s="36"/>
      <c r="G211" s="60"/>
      <c r="H211" s="70"/>
      <c r="I211" s="50"/>
    </row>
    <row r="212" spans="1:9" s="1" customFormat="1">
      <c r="A212" s="36"/>
      <c r="B212" s="36"/>
      <c r="C212" s="36"/>
      <c r="D212" s="36"/>
      <c r="E212" s="36"/>
      <c r="F212" s="36"/>
      <c r="G212" s="60"/>
      <c r="H212" s="70"/>
      <c r="I212" s="50"/>
    </row>
    <row r="213" spans="1:9" s="1" customFormat="1">
      <c r="A213" s="36"/>
      <c r="B213" s="36"/>
      <c r="C213" s="36"/>
      <c r="D213" s="36"/>
      <c r="E213" s="36"/>
      <c r="F213" s="36"/>
      <c r="G213" s="60"/>
      <c r="H213" s="70"/>
      <c r="I213" s="50"/>
    </row>
    <row r="214" spans="1:9" s="1" customFormat="1">
      <c r="A214" s="36"/>
      <c r="B214" s="36"/>
      <c r="C214" s="36"/>
      <c r="D214" s="36"/>
      <c r="E214" s="36"/>
      <c r="F214" s="36"/>
      <c r="G214" s="36"/>
      <c r="H214" s="36"/>
      <c r="I214" s="36"/>
    </row>
    <row r="215" spans="1:9" s="1" customFormat="1">
      <c r="A215" s="68"/>
      <c r="B215" s="68"/>
      <c r="C215" s="68"/>
      <c r="D215" s="68"/>
      <c r="E215" s="68"/>
      <c r="F215" s="68"/>
      <c r="G215" s="622"/>
      <c r="H215" s="71"/>
      <c r="I215" s="71"/>
    </row>
    <row r="216" spans="1:9" s="1" customFormat="1">
      <c r="A216" s="68"/>
      <c r="B216" s="68"/>
      <c r="C216" s="68"/>
      <c r="D216" s="68"/>
      <c r="E216" s="68"/>
      <c r="F216" s="68"/>
      <c r="G216" s="622"/>
      <c r="H216" s="71"/>
      <c r="I216" s="71"/>
    </row>
    <row r="217" spans="1:9" s="1" customFormat="1">
      <c r="A217" s="61"/>
      <c r="B217" s="36"/>
      <c r="C217" s="62"/>
      <c r="D217" s="62"/>
      <c r="E217" s="62"/>
      <c r="F217" s="36"/>
      <c r="G217" s="62"/>
      <c r="H217" s="72"/>
      <c r="I217" s="50"/>
    </row>
    <row r="218" spans="1:9" s="1" customFormat="1">
      <c r="A218" s="36"/>
      <c r="B218" s="36"/>
      <c r="C218" s="36"/>
      <c r="D218" s="36"/>
      <c r="E218" s="36"/>
      <c r="F218" s="36"/>
      <c r="G218" s="50"/>
      <c r="H218" s="50"/>
      <c r="I218" s="70"/>
    </row>
    <row r="219" spans="1:9" s="1" customFormat="1">
      <c r="A219" s="36"/>
      <c r="B219" s="36"/>
      <c r="C219" s="36"/>
      <c r="D219" s="36"/>
      <c r="E219" s="36"/>
      <c r="F219" s="36"/>
      <c r="G219" s="70"/>
      <c r="H219" s="50"/>
      <c r="I219" s="50"/>
    </row>
    <row r="220" spans="1:9" s="1" customFormat="1">
      <c r="A220" s="36"/>
      <c r="B220" s="36"/>
      <c r="C220" s="36"/>
      <c r="D220" s="36"/>
      <c r="E220" s="36"/>
      <c r="F220" s="36"/>
      <c r="G220" s="47"/>
      <c r="H220" s="50"/>
      <c r="I220" s="50"/>
    </row>
    <row r="221" spans="1:9" s="1" customFormat="1">
      <c r="A221" s="36"/>
      <c r="B221" s="36"/>
      <c r="C221" s="36"/>
      <c r="D221" s="36"/>
      <c r="E221" s="36"/>
      <c r="F221" s="36"/>
      <c r="G221" s="73"/>
      <c r="H221" s="50"/>
      <c r="I221" s="50"/>
    </row>
    <row r="222" spans="1:9" s="1" customFormat="1">
      <c r="A222" s="36"/>
      <c r="B222" s="36"/>
      <c r="C222" s="36"/>
      <c r="D222" s="36"/>
      <c r="E222" s="36"/>
      <c r="F222" s="50"/>
      <c r="G222" s="36"/>
      <c r="H222" s="36"/>
      <c r="I222" s="36"/>
    </row>
    <row r="223" spans="1:9" s="1" customFormat="1">
      <c r="A223" s="63"/>
      <c r="B223" s="36"/>
      <c r="C223" s="36"/>
      <c r="D223" s="36"/>
      <c r="E223" s="36"/>
      <c r="F223" s="50"/>
      <c r="G223" s="36"/>
      <c r="H223" s="36"/>
      <c r="I223" s="36"/>
    </row>
    <row r="224" spans="1:9" s="1" customFormat="1">
      <c r="A224" s="36"/>
      <c r="B224" s="74"/>
      <c r="C224" s="36"/>
      <c r="D224" s="36"/>
      <c r="E224" s="36"/>
      <c r="F224" s="36"/>
      <c r="G224" s="36"/>
      <c r="H224" s="36"/>
      <c r="I224" s="36"/>
    </row>
    <row r="225" spans="1:9" s="1" customFormat="1">
      <c r="A225" s="619"/>
      <c r="B225" s="521"/>
      <c r="C225" s="521"/>
      <c r="D225" s="521"/>
      <c r="E225" s="619"/>
      <c r="F225" s="619"/>
      <c r="G225" s="619"/>
      <c r="H225" s="619"/>
      <c r="I225" s="619"/>
    </row>
    <row r="226" spans="1:9" s="1" customFormat="1">
      <c r="A226" s="619"/>
      <c r="B226" s="521"/>
      <c r="C226" s="521"/>
      <c r="D226" s="521"/>
      <c r="E226" s="521"/>
      <c r="F226" s="521"/>
      <c r="G226" s="620"/>
      <c r="H226" s="620"/>
      <c r="I226" s="620"/>
    </row>
    <row r="227" spans="1:9" s="1" customFormat="1">
      <c r="A227" s="64"/>
      <c r="B227" s="76"/>
      <c r="C227" s="50"/>
      <c r="D227" s="50"/>
      <c r="E227" s="50"/>
      <c r="F227" s="65"/>
      <c r="G227" s="50"/>
      <c r="H227" s="50"/>
      <c r="I227" s="55"/>
    </row>
    <row r="228" spans="1:9" s="1" customFormat="1">
      <c r="A228" s="64"/>
      <c r="B228" s="76"/>
      <c r="C228" s="50"/>
      <c r="D228" s="50"/>
      <c r="E228" s="50"/>
      <c r="F228" s="65"/>
      <c r="G228" s="50"/>
      <c r="H228" s="54"/>
      <c r="I228" s="55"/>
    </row>
    <row r="229" spans="1:9" s="1" customFormat="1">
      <c r="A229" s="64"/>
      <c r="B229" s="76"/>
      <c r="C229" s="50"/>
      <c r="D229" s="50"/>
      <c r="E229" s="50"/>
      <c r="F229" s="65"/>
      <c r="G229" s="50"/>
      <c r="H229" s="54"/>
      <c r="I229" s="36"/>
    </row>
    <row r="230" spans="1:9" s="1" customFormat="1">
      <c r="A230" s="64"/>
      <c r="B230" s="76"/>
      <c r="C230" s="50"/>
      <c r="D230" s="50"/>
      <c r="E230" s="50"/>
      <c r="F230" s="65"/>
      <c r="G230" s="50"/>
      <c r="H230" s="54"/>
      <c r="I230" s="55"/>
    </row>
    <row r="231" spans="1:9" s="1" customFormat="1">
      <c r="A231" s="64"/>
      <c r="B231" s="77"/>
      <c r="C231" s="50"/>
      <c r="D231" s="50"/>
      <c r="E231" s="50"/>
      <c r="F231" s="65"/>
      <c r="G231" s="50"/>
      <c r="H231" s="54"/>
      <c r="I231" s="55"/>
    </row>
    <row r="232" spans="1:9" s="1" customFormat="1">
      <c r="A232" s="64"/>
      <c r="B232" s="77"/>
      <c r="C232" s="50"/>
      <c r="D232" s="50"/>
      <c r="E232" s="50"/>
      <c r="F232" s="65"/>
      <c r="G232" s="50"/>
      <c r="H232" s="54"/>
      <c r="I232" s="55"/>
    </row>
    <row r="233" spans="1:9" s="1" customFormat="1">
      <c r="A233" s="64"/>
      <c r="B233" s="77"/>
      <c r="C233" s="50"/>
      <c r="D233" s="50"/>
      <c r="E233" s="50"/>
      <c r="F233" s="65"/>
      <c r="G233" s="50"/>
      <c r="H233" s="54"/>
      <c r="I233" s="55"/>
    </row>
    <row r="234" spans="1:9" s="1" customFormat="1">
      <c r="A234" s="64"/>
      <c r="B234" s="77"/>
      <c r="C234" s="50"/>
      <c r="D234" s="50"/>
      <c r="E234" s="50"/>
      <c r="F234" s="65"/>
      <c r="G234" s="50"/>
      <c r="H234" s="54"/>
      <c r="I234" s="55"/>
    </row>
    <row r="235" spans="1:9" s="1" customFormat="1">
      <c r="A235" s="64"/>
      <c r="B235" s="77"/>
      <c r="C235" s="50"/>
      <c r="D235" s="50"/>
      <c r="E235" s="50"/>
      <c r="F235" s="65"/>
      <c r="G235" s="50"/>
      <c r="H235" s="54"/>
      <c r="I235" s="55"/>
    </row>
    <row r="236" spans="1:9" s="1" customFormat="1">
      <c r="A236" s="64"/>
      <c r="B236" s="77"/>
      <c r="C236" s="50"/>
      <c r="D236" s="50"/>
      <c r="E236" s="50"/>
      <c r="F236" s="65"/>
      <c r="G236" s="50"/>
      <c r="H236" s="54"/>
      <c r="I236" s="55"/>
    </row>
    <row r="237" spans="1:9" s="1" customFormat="1">
      <c r="A237" s="64"/>
      <c r="B237" s="77"/>
      <c r="C237" s="50"/>
      <c r="D237" s="50"/>
      <c r="E237" s="50"/>
      <c r="F237" s="65"/>
      <c r="G237" s="50"/>
      <c r="H237" s="54"/>
      <c r="I237" s="55"/>
    </row>
    <row r="238" spans="1:9" s="1" customFormat="1">
      <c r="A238" s="64"/>
      <c r="B238" s="77"/>
      <c r="C238" s="50"/>
      <c r="D238" s="50"/>
      <c r="E238" s="50"/>
      <c r="F238" s="65"/>
      <c r="G238" s="50"/>
      <c r="H238" s="54"/>
      <c r="I238" s="55"/>
    </row>
    <row r="239" spans="1:9" s="1" customFormat="1">
      <c r="A239" s="64"/>
      <c r="B239" s="77"/>
      <c r="C239" s="50"/>
      <c r="D239" s="50"/>
      <c r="E239" s="50"/>
      <c r="F239" s="65"/>
      <c r="G239" s="50"/>
      <c r="H239" s="54"/>
      <c r="I239" s="55"/>
    </row>
    <row r="240" spans="1:9" s="1" customFormat="1">
      <c r="A240" s="64"/>
      <c r="B240" s="77"/>
      <c r="C240" s="50"/>
      <c r="D240" s="50"/>
      <c r="E240" s="50"/>
      <c r="F240" s="65"/>
      <c r="G240" s="50"/>
      <c r="H240" s="54"/>
      <c r="I240" s="55"/>
    </row>
    <row r="241" spans="1:9" s="1" customFormat="1">
      <c r="A241" s="64"/>
      <c r="B241" s="77"/>
      <c r="C241" s="50"/>
      <c r="D241" s="50"/>
      <c r="E241" s="50"/>
      <c r="F241" s="65"/>
      <c r="G241" s="50"/>
      <c r="H241" s="54"/>
      <c r="I241" s="55"/>
    </row>
    <row r="242" spans="1:9" s="1" customFormat="1">
      <c r="A242" s="64"/>
      <c r="B242" s="77"/>
      <c r="C242" s="50"/>
      <c r="D242" s="50"/>
      <c r="E242" s="50"/>
      <c r="F242" s="65"/>
      <c r="G242" s="50"/>
      <c r="H242" s="54"/>
      <c r="I242" s="55"/>
    </row>
    <row r="243" spans="1:9" s="1" customFormat="1">
      <c r="A243" s="64"/>
      <c r="B243" s="77"/>
      <c r="C243" s="50"/>
      <c r="D243" s="50"/>
      <c r="E243" s="50"/>
      <c r="F243" s="65"/>
      <c r="G243" s="50"/>
      <c r="H243" s="54"/>
      <c r="I243" s="55"/>
    </row>
    <row r="244" spans="1:9" s="1" customFormat="1">
      <c r="A244" s="64"/>
      <c r="B244" s="77"/>
      <c r="C244" s="50"/>
      <c r="D244" s="50"/>
      <c r="E244" s="50"/>
      <c r="F244" s="65"/>
      <c r="G244" s="50"/>
      <c r="H244" s="54"/>
      <c r="I244" s="55"/>
    </row>
    <row r="245" spans="1:9" s="1" customFormat="1">
      <c r="A245" s="64"/>
      <c r="B245" s="77"/>
      <c r="C245" s="50"/>
      <c r="D245" s="50"/>
      <c r="E245" s="50"/>
      <c r="F245" s="65"/>
      <c r="G245" s="50"/>
      <c r="H245" s="54"/>
      <c r="I245" s="55"/>
    </row>
    <row r="246" spans="1:9" s="1" customFormat="1">
      <c r="A246" s="64"/>
      <c r="B246" s="77"/>
      <c r="C246" s="50"/>
      <c r="D246" s="50"/>
      <c r="E246" s="50"/>
      <c r="F246" s="65"/>
      <c r="G246" s="50"/>
      <c r="H246" s="54"/>
      <c r="I246" s="55"/>
    </row>
    <row r="247" spans="1:9" s="1" customFormat="1">
      <c r="A247" s="64"/>
      <c r="B247" s="77"/>
      <c r="C247" s="50"/>
      <c r="D247" s="50"/>
      <c r="E247" s="50"/>
      <c r="F247" s="65"/>
      <c r="G247" s="50"/>
      <c r="H247" s="54"/>
      <c r="I247" s="55"/>
    </row>
    <row r="248" spans="1:9" s="1" customFormat="1">
      <c r="A248" s="64"/>
      <c r="B248" s="77"/>
      <c r="C248" s="50"/>
      <c r="D248" s="50"/>
      <c r="E248" s="50"/>
      <c r="F248" s="65"/>
      <c r="G248" s="50"/>
      <c r="H248" s="54"/>
      <c r="I248" s="55"/>
    </row>
    <row r="249" spans="1:9" s="1" customFormat="1">
      <c r="A249" s="64"/>
      <c r="B249" s="77"/>
      <c r="C249" s="50"/>
      <c r="D249" s="50"/>
      <c r="E249" s="50"/>
      <c r="F249" s="65"/>
      <c r="G249" s="50"/>
      <c r="H249" s="54"/>
      <c r="I249" s="55"/>
    </row>
    <row r="250" spans="1:9" s="1" customFormat="1">
      <c r="A250" s="64"/>
      <c r="B250" s="77"/>
      <c r="C250" s="50"/>
      <c r="D250" s="50"/>
      <c r="E250" s="50"/>
      <c r="F250" s="65"/>
      <c r="G250" s="50"/>
      <c r="H250" s="54"/>
      <c r="I250" s="55"/>
    </row>
    <row r="251" spans="1:9" s="1" customFormat="1">
      <c r="A251" s="64"/>
      <c r="B251" s="77"/>
      <c r="C251" s="50"/>
      <c r="D251" s="50"/>
      <c r="E251" s="50"/>
      <c r="F251" s="65"/>
      <c r="G251" s="50"/>
      <c r="H251" s="54"/>
      <c r="I251" s="55"/>
    </row>
    <row r="252" spans="1:9" s="1" customFormat="1">
      <c r="A252" s="82"/>
      <c r="B252" s="56"/>
      <c r="C252" s="56"/>
      <c r="D252" s="56"/>
      <c r="E252" s="56"/>
      <c r="F252" s="56"/>
      <c r="G252" s="56"/>
      <c r="H252" s="56"/>
      <c r="I252" s="56"/>
    </row>
    <row r="253" spans="1:9" s="1" customFormat="1">
      <c r="A253" s="36"/>
      <c r="B253" s="50"/>
      <c r="C253" s="50"/>
      <c r="D253" s="50"/>
      <c r="E253" s="50"/>
      <c r="F253" s="36"/>
      <c r="G253" s="36"/>
      <c r="H253" s="36"/>
      <c r="I253" s="36"/>
    </row>
    <row r="254" spans="1:9" s="1" customFormat="1">
      <c r="A254" s="36"/>
      <c r="B254" s="36"/>
      <c r="C254" s="78"/>
      <c r="D254" s="78"/>
      <c r="E254" s="79"/>
      <c r="F254" s="80"/>
      <c r="G254" s="78"/>
      <c r="H254" s="36"/>
      <c r="I254" s="81"/>
    </row>
    <row r="255" spans="1:9" s="1" customFormat="1" ht="12">
      <c r="A255" s="4"/>
      <c r="B255" s="4"/>
      <c r="C255" s="4"/>
      <c r="D255" s="4"/>
      <c r="E255" s="4"/>
      <c r="F255" s="4"/>
      <c r="G255" s="4"/>
      <c r="H255" s="4"/>
      <c r="I255" s="4"/>
    </row>
    <row r="256" spans="1:9" s="1" customFormat="1" ht="12">
      <c r="A256" s="4"/>
      <c r="B256" s="4"/>
      <c r="C256" s="4"/>
      <c r="D256" s="4"/>
      <c r="E256" s="4"/>
      <c r="F256" s="4"/>
      <c r="G256" s="4"/>
      <c r="H256" s="4"/>
      <c r="I256" s="4"/>
    </row>
    <row r="257" spans="1:9" s="1" customFormat="1" ht="20.25">
      <c r="A257" s="52"/>
      <c r="B257" s="51"/>
      <c r="G257" s="53"/>
      <c r="H257" s="53"/>
      <c r="I257" s="53"/>
    </row>
    <row r="258" spans="1:9" s="1" customFormat="1" ht="20.25">
      <c r="A258" s="53"/>
      <c r="B258" s="53"/>
      <c r="C258" s="53"/>
      <c r="D258" s="53"/>
      <c r="E258" s="53"/>
      <c r="F258" s="53"/>
      <c r="G258" s="53"/>
      <c r="H258" s="53"/>
      <c r="I258" s="53"/>
    </row>
    <row r="259" spans="1:9" s="4" customFormat="1" ht="42.75" customHeight="1">
      <c r="A259" s="618"/>
      <c r="B259" s="668"/>
      <c r="C259" s="668"/>
      <c r="D259" s="522"/>
      <c r="E259" s="57"/>
      <c r="F259" s="57"/>
      <c r="G259" s="57"/>
      <c r="H259" s="57"/>
      <c r="I259" s="57"/>
    </row>
    <row r="260" spans="1:9" s="4" customFormat="1">
      <c r="A260" s="68"/>
      <c r="B260" s="68"/>
      <c r="C260" s="68"/>
      <c r="D260" s="68"/>
      <c r="E260" s="68"/>
      <c r="F260" s="68"/>
      <c r="G260" s="69"/>
      <c r="H260" s="69"/>
      <c r="I260" s="615"/>
    </row>
    <row r="261" spans="1:9" s="4" customFormat="1">
      <c r="A261" s="68"/>
      <c r="B261" s="68"/>
      <c r="C261" s="68"/>
      <c r="D261" s="68"/>
      <c r="E261" s="68"/>
      <c r="F261" s="68"/>
      <c r="G261" s="69"/>
      <c r="H261" s="69"/>
      <c r="I261" s="615"/>
    </row>
    <row r="262" spans="1:9" s="4" customFormat="1">
      <c r="A262" s="36"/>
      <c r="B262" s="36"/>
      <c r="C262" s="36"/>
      <c r="D262" s="36"/>
      <c r="E262" s="36"/>
      <c r="F262" s="36"/>
      <c r="G262" s="36"/>
      <c r="H262" s="50"/>
      <c r="I262" s="36"/>
    </row>
    <row r="263" spans="1:9" s="4" customFormat="1">
      <c r="A263" s="36"/>
      <c r="B263" s="36"/>
      <c r="C263" s="36"/>
      <c r="D263" s="36"/>
      <c r="E263" s="36"/>
      <c r="F263" s="36"/>
      <c r="G263" s="58"/>
      <c r="H263" s="70"/>
      <c r="I263" s="50"/>
    </row>
    <row r="264" spans="1:9" s="4" customFormat="1">
      <c r="A264" s="36"/>
      <c r="B264" s="36"/>
      <c r="C264" s="36"/>
      <c r="D264" s="36"/>
      <c r="E264" s="36"/>
      <c r="F264" s="36"/>
      <c r="G264" s="59"/>
      <c r="H264" s="70"/>
      <c r="I264" s="50"/>
    </row>
    <row r="265" spans="1:9" s="4" customFormat="1">
      <c r="A265" s="36"/>
      <c r="B265" s="36"/>
      <c r="C265" s="36"/>
      <c r="D265" s="36"/>
      <c r="E265" s="36"/>
      <c r="F265" s="36"/>
      <c r="G265" s="60"/>
      <c r="H265" s="70"/>
      <c r="I265" s="50"/>
    </row>
    <row r="266" spans="1:9" s="4" customFormat="1">
      <c r="A266" s="36"/>
      <c r="B266" s="36"/>
      <c r="C266" s="36"/>
      <c r="D266" s="36"/>
      <c r="E266" s="36"/>
      <c r="F266" s="36"/>
      <c r="G266" s="60"/>
      <c r="H266" s="70"/>
      <c r="I266" s="50"/>
    </row>
    <row r="267" spans="1:9" s="4" customFormat="1">
      <c r="A267" s="36"/>
      <c r="B267" s="36"/>
      <c r="C267" s="36"/>
      <c r="D267" s="36"/>
      <c r="E267" s="36"/>
      <c r="F267" s="36"/>
      <c r="G267" s="60"/>
      <c r="H267" s="70"/>
      <c r="I267" s="50"/>
    </row>
    <row r="268" spans="1:9" s="4" customFormat="1">
      <c r="A268" s="36"/>
      <c r="B268" s="36"/>
      <c r="C268" s="36"/>
      <c r="D268" s="36"/>
      <c r="E268" s="36"/>
      <c r="F268" s="36"/>
      <c r="G268" s="60"/>
      <c r="H268" s="70"/>
      <c r="I268" s="50"/>
    </row>
    <row r="269" spans="1:9" s="4" customFormat="1">
      <c r="A269" s="36"/>
      <c r="B269" s="36"/>
      <c r="C269" s="36"/>
      <c r="D269" s="36"/>
      <c r="E269" s="36"/>
      <c r="F269" s="36"/>
      <c r="G269" s="36"/>
      <c r="H269" s="36"/>
      <c r="I269" s="36"/>
    </row>
    <row r="270" spans="1:9" s="4" customFormat="1">
      <c r="A270" s="68"/>
      <c r="B270" s="68"/>
      <c r="C270" s="68"/>
      <c r="D270" s="68"/>
      <c r="E270" s="68"/>
      <c r="F270" s="68"/>
      <c r="G270" s="622"/>
      <c r="H270" s="71"/>
      <c r="I270" s="71"/>
    </row>
    <row r="271" spans="1:9" s="4" customFormat="1">
      <c r="A271" s="68"/>
      <c r="B271" s="68"/>
      <c r="C271" s="68"/>
      <c r="D271" s="68"/>
      <c r="E271" s="68"/>
      <c r="F271" s="68"/>
      <c r="G271" s="622"/>
      <c r="H271" s="71"/>
      <c r="I271" s="71"/>
    </row>
    <row r="272" spans="1:9" s="4" customFormat="1">
      <c r="A272" s="61"/>
      <c r="B272" s="36"/>
      <c r="C272" s="62"/>
      <c r="D272" s="62"/>
      <c r="E272" s="62"/>
      <c r="F272" s="36"/>
      <c r="G272" s="62"/>
      <c r="H272" s="72"/>
      <c r="I272" s="50"/>
    </row>
    <row r="273" spans="1:9" s="4" customFormat="1">
      <c r="A273" s="36"/>
      <c r="B273" s="36"/>
      <c r="C273" s="36"/>
      <c r="D273" s="36"/>
      <c r="E273" s="36"/>
      <c r="F273" s="36"/>
      <c r="G273" s="50"/>
      <c r="H273" s="50"/>
      <c r="I273" s="70"/>
    </row>
    <row r="274" spans="1:9" s="4" customFormat="1">
      <c r="A274" s="36"/>
      <c r="B274" s="36"/>
      <c r="C274" s="36"/>
      <c r="D274" s="36"/>
      <c r="E274" s="36"/>
      <c r="F274" s="36"/>
      <c r="G274" s="70"/>
      <c r="H274" s="50"/>
      <c r="I274" s="50"/>
    </row>
    <row r="275" spans="1:9" s="4" customFormat="1">
      <c r="A275" s="36"/>
      <c r="B275" s="36"/>
      <c r="C275" s="36"/>
      <c r="D275" s="36"/>
      <c r="E275" s="36"/>
      <c r="F275" s="36"/>
      <c r="G275" s="47"/>
      <c r="H275" s="50"/>
      <c r="I275" s="50"/>
    </row>
    <row r="276" spans="1:9" s="4" customFormat="1">
      <c r="A276" s="36"/>
      <c r="B276" s="36"/>
      <c r="C276" s="36"/>
      <c r="D276" s="36"/>
      <c r="E276" s="36"/>
      <c r="F276" s="36"/>
      <c r="G276" s="73"/>
      <c r="H276" s="50"/>
      <c r="I276" s="50"/>
    </row>
    <row r="277" spans="1:9" s="4" customFormat="1">
      <c r="A277" s="36"/>
      <c r="B277" s="36"/>
      <c r="C277" s="36"/>
      <c r="D277" s="36"/>
      <c r="E277" s="36"/>
      <c r="F277" s="50"/>
      <c r="G277" s="36"/>
      <c r="H277" s="36"/>
      <c r="I277" s="36"/>
    </row>
    <row r="278" spans="1:9" s="4" customFormat="1">
      <c r="A278" s="63"/>
      <c r="B278" s="36"/>
      <c r="C278" s="36"/>
      <c r="D278" s="36"/>
      <c r="E278" s="36"/>
      <c r="F278" s="50"/>
      <c r="G278" s="36"/>
      <c r="H278" s="36"/>
      <c r="I278" s="36"/>
    </row>
    <row r="279" spans="1:9" s="4" customFormat="1">
      <c r="A279" s="36"/>
      <c r="B279" s="74"/>
      <c r="C279" s="36"/>
      <c r="D279" s="36"/>
      <c r="E279" s="36"/>
      <c r="F279" s="36"/>
      <c r="G279" s="36"/>
      <c r="H279" s="36"/>
      <c r="I279" s="36"/>
    </row>
    <row r="280" spans="1:9" s="4" customFormat="1">
      <c r="A280" s="619"/>
      <c r="B280" s="521"/>
      <c r="C280" s="521"/>
      <c r="D280" s="521"/>
      <c r="E280" s="619"/>
      <c r="F280" s="619"/>
      <c r="G280" s="619"/>
      <c r="H280" s="619"/>
      <c r="I280" s="619"/>
    </row>
    <row r="281" spans="1:9" s="4" customFormat="1">
      <c r="A281" s="619"/>
      <c r="B281" s="521"/>
      <c r="C281" s="521"/>
      <c r="D281" s="521"/>
      <c r="E281" s="521"/>
      <c r="F281" s="521"/>
      <c r="G281" s="620"/>
      <c r="H281" s="620"/>
      <c r="I281" s="620"/>
    </row>
    <row r="282" spans="1:9" s="4" customFormat="1">
      <c r="A282" s="64"/>
      <c r="B282" s="76"/>
      <c r="C282" s="50"/>
      <c r="D282" s="50"/>
      <c r="E282" s="50"/>
      <c r="F282" s="65"/>
      <c r="G282" s="50"/>
      <c r="H282" s="50"/>
      <c r="I282" s="55"/>
    </row>
    <row r="283" spans="1:9" s="4" customFormat="1">
      <c r="A283" s="64"/>
      <c r="B283" s="76"/>
      <c r="C283" s="50"/>
      <c r="D283" s="50"/>
      <c r="E283" s="50"/>
      <c r="F283" s="65"/>
      <c r="G283" s="50"/>
      <c r="H283" s="54"/>
      <c r="I283" s="55"/>
    </row>
    <row r="284" spans="1:9" s="4" customFormat="1">
      <c r="A284" s="64"/>
      <c r="B284" s="76"/>
      <c r="C284" s="50"/>
      <c r="D284" s="50"/>
      <c r="E284" s="50"/>
      <c r="F284" s="65"/>
      <c r="G284" s="50"/>
      <c r="H284" s="54"/>
      <c r="I284" s="36"/>
    </row>
    <row r="285" spans="1:9" s="4" customFormat="1">
      <c r="A285" s="64"/>
      <c r="B285" s="76"/>
      <c r="C285" s="50"/>
      <c r="D285" s="50"/>
      <c r="E285" s="50"/>
      <c r="F285" s="65"/>
      <c r="G285" s="50"/>
      <c r="H285" s="54"/>
      <c r="I285" s="55"/>
    </row>
    <row r="286" spans="1:9" s="4" customFormat="1">
      <c r="A286" s="64"/>
      <c r="B286" s="77"/>
      <c r="C286" s="50"/>
      <c r="D286" s="50"/>
      <c r="E286" s="50"/>
      <c r="F286" s="65"/>
      <c r="G286" s="50"/>
      <c r="H286" s="54"/>
      <c r="I286" s="55"/>
    </row>
    <row r="287" spans="1:9" s="4" customFormat="1">
      <c r="A287" s="64"/>
      <c r="B287" s="77"/>
      <c r="C287" s="50"/>
      <c r="D287" s="50"/>
      <c r="E287" s="50"/>
      <c r="F287" s="65"/>
      <c r="G287" s="50"/>
      <c r="H287" s="54"/>
      <c r="I287" s="55"/>
    </row>
    <row r="288" spans="1:9" s="4" customFormat="1">
      <c r="A288" s="64"/>
      <c r="B288" s="77"/>
      <c r="C288" s="50"/>
      <c r="D288" s="50"/>
      <c r="E288" s="50"/>
      <c r="F288" s="65"/>
      <c r="G288" s="50"/>
      <c r="H288" s="54"/>
      <c r="I288" s="55"/>
    </row>
    <row r="289" spans="1:9" s="4" customFormat="1">
      <c r="A289" s="64"/>
      <c r="B289" s="77"/>
      <c r="C289" s="50"/>
      <c r="D289" s="50"/>
      <c r="E289" s="50"/>
      <c r="F289" s="65"/>
      <c r="G289" s="50"/>
      <c r="H289" s="54"/>
      <c r="I289" s="55"/>
    </row>
    <row r="290" spans="1:9" s="4" customFormat="1">
      <c r="A290" s="64"/>
      <c r="B290" s="77"/>
      <c r="C290" s="50"/>
      <c r="D290" s="50"/>
      <c r="E290" s="50"/>
      <c r="F290" s="65"/>
      <c r="G290" s="50"/>
      <c r="H290" s="54"/>
      <c r="I290" s="55"/>
    </row>
    <row r="291" spans="1:9" s="4" customFormat="1">
      <c r="A291" s="64"/>
      <c r="B291" s="77"/>
      <c r="C291" s="50"/>
      <c r="D291" s="50"/>
      <c r="E291" s="50"/>
      <c r="F291" s="65"/>
      <c r="G291" s="50"/>
      <c r="H291" s="54"/>
      <c r="I291" s="55"/>
    </row>
    <row r="292" spans="1:9" s="4" customFormat="1">
      <c r="A292" s="64"/>
      <c r="B292" s="77"/>
      <c r="C292" s="50"/>
      <c r="D292" s="50"/>
      <c r="E292" s="50"/>
      <c r="F292" s="65"/>
      <c r="G292" s="50"/>
      <c r="H292" s="54"/>
      <c r="I292" s="55"/>
    </row>
    <row r="293" spans="1:9" s="4" customFormat="1">
      <c r="A293" s="64"/>
      <c r="B293" s="77"/>
      <c r="C293" s="50"/>
      <c r="D293" s="50"/>
      <c r="E293" s="50"/>
      <c r="F293" s="65"/>
      <c r="G293" s="50"/>
      <c r="H293" s="54"/>
      <c r="I293" s="55"/>
    </row>
    <row r="294" spans="1:9" s="4" customFormat="1">
      <c r="A294" s="64"/>
      <c r="B294" s="77"/>
      <c r="C294" s="50"/>
      <c r="D294" s="50"/>
      <c r="E294" s="50"/>
      <c r="F294" s="65"/>
      <c r="G294" s="50"/>
      <c r="H294" s="54"/>
      <c r="I294" s="55"/>
    </row>
    <row r="295" spans="1:9" s="4" customFormat="1">
      <c r="A295" s="64"/>
      <c r="B295" s="77"/>
      <c r="C295" s="50"/>
      <c r="D295" s="50"/>
      <c r="E295" s="50"/>
      <c r="F295" s="65"/>
      <c r="G295" s="50"/>
      <c r="H295" s="54"/>
      <c r="I295" s="55"/>
    </row>
    <row r="296" spans="1:9" s="4" customFormat="1">
      <c r="A296" s="64"/>
      <c r="B296" s="77"/>
      <c r="C296" s="50"/>
      <c r="D296" s="50"/>
      <c r="E296" s="50"/>
      <c r="F296" s="65"/>
      <c r="G296" s="50"/>
      <c r="H296" s="54"/>
      <c r="I296" s="55"/>
    </row>
    <row r="297" spans="1:9" s="4" customFormat="1">
      <c r="A297" s="64"/>
      <c r="B297" s="77"/>
      <c r="C297" s="50"/>
      <c r="D297" s="50"/>
      <c r="E297" s="50"/>
      <c r="F297" s="65"/>
      <c r="G297" s="50"/>
      <c r="H297" s="54"/>
      <c r="I297" s="55"/>
    </row>
    <row r="298" spans="1:9" s="4" customFormat="1">
      <c r="A298" s="64"/>
      <c r="B298" s="77"/>
      <c r="C298" s="50"/>
      <c r="D298" s="50"/>
      <c r="E298" s="50"/>
      <c r="F298" s="65"/>
      <c r="G298" s="50"/>
      <c r="H298" s="54"/>
      <c r="I298" s="55"/>
    </row>
    <row r="299" spans="1:9" s="4" customFormat="1">
      <c r="A299" s="64"/>
      <c r="B299" s="77"/>
      <c r="C299" s="50"/>
      <c r="D299" s="50"/>
      <c r="E299" s="50"/>
      <c r="F299" s="65"/>
      <c r="G299" s="50"/>
      <c r="H299" s="54"/>
      <c r="I299" s="55"/>
    </row>
    <row r="300" spans="1:9" s="4" customFormat="1">
      <c r="A300" s="64"/>
      <c r="B300" s="77"/>
      <c r="C300" s="50"/>
      <c r="D300" s="50"/>
      <c r="E300" s="50"/>
      <c r="F300" s="65"/>
      <c r="G300" s="50"/>
      <c r="H300" s="54"/>
      <c r="I300" s="55"/>
    </row>
    <row r="301" spans="1:9" s="4" customFormat="1">
      <c r="A301" s="64"/>
      <c r="B301" s="77"/>
      <c r="C301" s="50"/>
      <c r="D301" s="50"/>
      <c r="E301" s="50"/>
      <c r="F301" s="65"/>
      <c r="G301" s="50"/>
      <c r="H301" s="54"/>
      <c r="I301" s="55"/>
    </row>
    <row r="302" spans="1:9" s="4" customFormat="1">
      <c r="A302" s="64"/>
      <c r="B302" s="77"/>
      <c r="C302" s="50"/>
      <c r="D302" s="50"/>
      <c r="E302" s="50"/>
      <c r="F302" s="65"/>
      <c r="G302" s="50"/>
      <c r="H302" s="54"/>
      <c r="I302" s="55"/>
    </row>
    <row r="303" spans="1:9" s="4" customFormat="1">
      <c r="A303" s="64"/>
      <c r="B303" s="77"/>
      <c r="C303" s="50"/>
      <c r="D303" s="50"/>
      <c r="E303" s="50"/>
      <c r="F303" s="65"/>
      <c r="G303" s="50"/>
      <c r="H303" s="54"/>
      <c r="I303" s="55"/>
    </row>
    <row r="304" spans="1:9" s="4" customFormat="1">
      <c r="A304" s="64"/>
      <c r="B304" s="77"/>
      <c r="C304" s="50"/>
      <c r="D304" s="50"/>
      <c r="E304" s="50"/>
      <c r="F304" s="65"/>
      <c r="G304" s="50"/>
      <c r="H304" s="54"/>
      <c r="I304" s="55"/>
    </row>
    <row r="305" spans="1:9" s="4" customFormat="1">
      <c r="A305" s="64"/>
      <c r="B305" s="77"/>
      <c r="C305" s="50"/>
      <c r="D305" s="50"/>
      <c r="E305" s="50"/>
      <c r="F305" s="65"/>
      <c r="G305" s="50"/>
      <c r="H305" s="54"/>
      <c r="I305" s="55"/>
    </row>
    <row r="306" spans="1:9" s="4" customFormat="1">
      <c r="A306" s="64"/>
      <c r="B306" s="77"/>
      <c r="C306" s="50"/>
      <c r="D306" s="50"/>
      <c r="E306" s="50"/>
      <c r="F306" s="65"/>
      <c r="G306" s="50"/>
      <c r="H306" s="54"/>
      <c r="I306" s="55"/>
    </row>
    <row r="307" spans="1:9" s="4" customFormat="1">
      <c r="A307" s="82"/>
      <c r="B307" s="56"/>
      <c r="C307" s="56"/>
      <c r="D307" s="56"/>
      <c r="E307" s="56"/>
      <c r="F307" s="56"/>
      <c r="G307" s="56"/>
      <c r="H307" s="56"/>
      <c r="I307" s="56"/>
    </row>
    <row r="308" spans="1:9" s="4" customFormat="1">
      <c r="A308" s="36"/>
      <c r="B308" s="50"/>
      <c r="C308" s="50"/>
      <c r="D308" s="50"/>
      <c r="E308" s="50"/>
      <c r="F308" s="36"/>
      <c r="G308" s="36"/>
      <c r="H308" s="36"/>
      <c r="I308" s="36"/>
    </row>
    <row r="309" spans="1:9" s="4" customFormat="1">
      <c r="A309" s="36"/>
      <c r="B309" s="36"/>
      <c r="C309" s="78"/>
      <c r="D309" s="78"/>
      <c r="E309" s="79"/>
      <c r="F309" s="80"/>
      <c r="G309" s="78"/>
      <c r="H309" s="36"/>
      <c r="I309" s="81"/>
    </row>
    <row r="310" spans="1:9" s="4" customFormat="1" ht="12"/>
    <row r="311" spans="1:9" s="4" customFormat="1" ht="20.25">
      <c r="A311" s="66"/>
      <c r="B311" s="67"/>
      <c r="G311" s="57"/>
      <c r="H311" s="57"/>
      <c r="I311" s="57"/>
    </row>
    <row r="312" spans="1:9" s="4" customFormat="1" ht="41.25" customHeight="1">
      <c r="A312" s="618"/>
      <c r="B312" s="668"/>
      <c r="C312" s="668"/>
      <c r="D312" s="522"/>
      <c r="E312" s="57"/>
      <c r="F312" s="57"/>
      <c r="G312" s="57"/>
      <c r="H312" s="57"/>
      <c r="I312" s="57"/>
    </row>
    <row r="313" spans="1:9" s="4" customFormat="1">
      <c r="A313" s="68"/>
      <c r="B313" s="68"/>
      <c r="C313" s="68"/>
      <c r="D313" s="68"/>
      <c r="E313" s="68"/>
      <c r="F313" s="68"/>
      <c r="G313" s="69"/>
      <c r="H313" s="69"/>
      <c r="I313" s="615"/>
    </row>
    <row r="314" spans="1:9" s="4" customFormat="1">
      <c r="A314" s="68"/>
      <c r="B314" s="68"/>
      <c r="C314" s="68"/>
      <c r="D314" s="68"/>
      <c r="E314" s="68"/>
      <c r="F314" s="68"/>
      <c r="G314" s="69"/>
      <c r="H314" s="69"/>
      <c r="I314" s="615"/>
    </row>
    <row r="315" spans="1:9" s="4" customFormat="1">
      <c r="A315" s="36"/>
      <c r="B315" s="36"/>
      <c r="C315" s="36"/>
      <c r="D315" s="36"/>
      <c r="E315" s="36"/>
      <c r="F315" s="36"/>
      <c r="G315" s="36"/>
      <c r="H315" s="50"/>
      <c r="I315" s="36"/>
    </row>
    <row r="316" spans="1:9" s="4" customFormat="1">
      <c r="A316" s="36"/>
      <c r="B316" s="36"/>
      <c r="C316" s="36"/>
      <c r="D316" s="36"/>
      <c r="E316" s="36"/>
      <c r="F316" s="36"/>
      <c r="G316" s="59"/>
      <c r="H316" s="70"/>
      <c r="I316" s="50"/>
    </row>
    <row r="317" spans="1:9" s="4" customFormat="1">
      <c r="A317" s="36"/>
      <c r="B317" s="36"/>
      <c r="C317" s="36"/>
      <c r="D317" s="36"/>
      <c r="E317" s="36"/>
      <c r="F317" s="36"/>
      <c r="G317" s="59"/>
      <c r="H317" s="70"/>
      <c r="I317" s="50"/>
    </row>
    <row r="318" spans="1:9" s="4" customFormat="1">
      <c r="A318" s="36"/>
      <c r="B318" s="36"/>
      <c r="C318" s="36"/>
      <c r="D318" s="36"/>
      <c r="E318" s="36"/>
      <c r="F318" s="36"/>
      <c r="G318" s="60"/>
      <c r="H318" s="70"/>
      <c r="I318" s="50"/>
    </row>
    <row r="319" spans="1:9" s="4" customFormat="1">
      <c r="A319" s="36"/>
      <c r="B319" s="36"/>
      <c r="C319" s="36"/>
      <c r="D319" s="36"/>
      <c r="E319" s="36"/>
      <c r="F319" s="36"/>
      <c r="G319" s="60"/>
      <c r="H319" s="70"/>
      <c r="I319" s="50"/>
    </row>
    <row r="320" spans="1:9" s="4" customFormat="1">
      <c r="A320" s="36"/>
      <c r="B320" s="36"/>
      <c r="C320" s="36"/>
      <c r="D320" s="36"/>
      <c r="E320" s="36"/>
      <c r="F320" s="36"/>
      <c r="G320" s="60"/>
      <c r="H320" s="70"/>
      <c r="I320" s="50"/>
    </row>
    <row r="321" spans="1:9" s="4" customFormat="1">
      <c r="A321" s="36"/>
      <c r="B321" s="36"/>
      <c r="C321" s="36"/>
      <c r="D321" s="36"/>
      <c r="E321" s="36"/>
      <c r="F321" s="36"/>
      <c r="G321" s="60"/>
      <c r="H321" s="70"/>
      <c r="I321" s="50"/>
    </row>
    <row r="322" spans="1:9" s="4" customFormat="1">
      <c r="A322" s="36"/>
      <c r="B322" s="36"/>
      <c r="C322" s="36"/>
      <c r="D322" s="36"/>
      <c r="E322" s="36"/>
      <c r="F322" s="36"/>
      <c r="G322" s="36"/>
      <c r="H322" s="36"/>
      <c r="I322" s="36"/>
    </row>
    <row r="323" spans="1:9" s="4" customFormat="1">
      <c r="A323" s="68"/>
      <c r="B323" s="68"/>
      <c r="C323" s="68"/>
      <c r="D323" s="68"/>
      <c r="E323" s="68"/>
      <c r="F323" s="68"/>
      <c r="G323" s="622"/>
      <c r="H323" s="71"/>
      <c r="I323" s="71"/>
    </row>
    <row r="324" spans="1:9" s="4" customFormat="1">
      <c r="A324" s="68"/>
      <c r="B324" s="68"/>
      <c r="C324" s="68"/>
      <c r="D324" s="68"/>
      <c r="E324" s="68"/>
      <c r="F324" s="68"/>
      <c r="G324" s="622"/>
      <c r="H324" s="71"/>
      <c r="I324" s="71"/>
    </row>
    <row r="325" spans="1:9" s="4" customFormat="1">
      <c r="A325" s="61"/>
      <c r="B325" s="36"/>
      <c r="C325" s="62"/>
      <c r="D325" s="62"/>
      <c r="E325" s="62"/>
      <c r="F325" s="36"/>
      <c r="G325" s="62"/>
      <c r="H325" s="72"/>
      <c r="I325" s="50"/>
    </row>
    <row r="326" spans="1:9" s="4" customFormat="1">
      <c r="A326" s="36"/>
      <c r="B326" s="36"/>
      <c r="C326" s="36"/>
      <c r="D326" s="36"/>
      <c r="E326" s="36"/>
      <c r="F326" s="36"/>
      <c r="G326" s="50"/>
      <c r="H326" s="50"/>
      <c r="I326" s="70"/>
    </row>
    <row r="327" spans="1:9" s="4" customFormat="1">
      <c r="A327" s="36"/>
      <c r="B327" s="36"/>
      <c r="C327" s="36"/>
      <c r="D327" s="36"/>
      <c r="E327" s="36"/>
      <c r="F327" s="36"/>
      <c r="G327" s="70"/>
      <c r="H327" s="50"/>
      <c r="I327" s="50"/>
    </row>
    <row r="328" spans="1:9" s="4" customFormat="1">
      <c r="A328" s="36"/>
      <c r="B328" s="36"/>
      <c r="C328" s="36"/>
      <c r="D328" s="36"/>
      <c r="E328" s="36"/>
      <c r="F328" s="36"/>
      <c r="G328" s="47"/>
      <c r="H328" s="50"/>
      <c r="I328" s="50"/>
    </row>
    <row r="329" spans="1:9" s="4" customFormat="1">
      <c r="A329" s="36"/>
      <c r="B329" s="36"/>
      <c r="C329" s="36"/>
      <c r="D329" s="36"/>
      <c r="E329" s="36"/>
      <c r="F329" s="36"/>
      <c r="G329" s="73"/>
      <c r="H329" s="50"/>
      <c r="I329" s="50"/>
    </row>
    <row r="330" spans="1:9" s="4" customFormat="1">
      <c r="A330" s="36"/>
      <c r="B330" s="36"/>
      <c r="C330" s="36"/>
      <c r="D330" s="36"/>
      <c r="E330" s="36"/>
      <c r="F330" s="50"/>
      <c r="G330" s="36"/>
      <c r="H330" s="36"/>
      <c r="I330" s="36"/>
    </row>
    <row r="331" spans="1:9" s="4" customFormat="1">
      <c r="A331" s="63"/>
      <c r="B331" s="36"/>
      <c r="C331" s="36"/>
      <c r="D331" s="36"/>
      <c r="E331" s="36"/>
      <c r="F331" s="50"/>
      <c r="G331" s="36"/>
      <c r="H331" s="36"/>
      <c r="I331" s="36"/>
    </row>
    <row r="332" spans="1:9" s="4" customFormat="1">
      <c r="A332" s="36"/>
      <c r="B332" s="74"/>
      <c r="C332" s="36"/>
      <c r="D332" s="36"/>
      <c r="E332" s="36"/>
      <c r="F332" s="36"/>
      <c r="G332" s="36"/>
      <c r="H332" s="36"/>
      <c r="I332" s="36"/>
    </row>
    <row r="333" spans="1:9" s="4" customFormat="1">
      <c r="A333" s="619"/>
      <c r="B333" s="521"/>
      <c r="C333" s="521"/>
      <c r="D333" s="521"/>
      <c r="E333" s="619"/>
      <c r="F333" s="619"/>
      <c r="G333" s="619"/>
      <c r="H333" s="619"/>
      <c r="I333" s="619"/>
    </row>
    <row r="334" spans="1:9" s="4" customFormat="1">
      <c r="A334" s="619"/>
      <c r="B334" s="521"/>
      <c r="C334" s="521"/>
      <c r="D334" s="521"/>
      <c r="E334" s="521"/>
      <c r="F334" s="521"/>
      <c r="G334" s="620"/>
      <c r="H334" s="620"/>
      <c r="I334" s="620"/>
    </row>
    <row r="335" spans="1:9" s="4" customFormat="1">
      <c r="A335" s="64"/>
      <c r="B335" s="76"/>
      <c r="C335" s="50"/>
      <c r="D335" s="50"/>
      <c r="E335" s="50"/>
      <c r="F335" s="65"/>
      <c r="G335" s="50"/>
      <c r="H335" s="50"/>
      <c r="I335" s="55"/>
    </row>
    <row r="336" spans="1:9" s="4" customFormat="1">
      <c r="A336" s="64"/>
      <c r="B336" s="76"/>
      <c r="C336" s="50"/>
      <c r="D336" s="50"/>
      <c r="E336" s="50"/>
      <c r="F336" s="65"/>
      <c r="G336" s="50"/>
      <c r="H336" s="54"/>
      <c r="I336" s="55"/>
    </row>
    <row r="337" spans="1:9" s="4" customFormat="1">
      <c r="A337" s="64"/>
      <c r="B337" s="76"/>
      <c r="C337" s="50"/>
      <c r="D337" s="50"/>
      <c r="E337" s="50"/>
      <c r="F337" s="65"/>
      <c r="G337" s="50"/>
      <c r="H337" s="54"/>
      <c r="I337" s="36"/>
    </row>
    <row r="338" spans="1:9" s="4" customFormat="1">
      <c r="A338" s="64"/>
      <c r="B338" s="76"/>
      <c r="C338" s="50"/>
      <c r="D338" s="50"/>
      <c r="E338" s="50"/>
      <c r="F338" s="65"/>
      <c r="G338" s="50"/>
      <c r="H338" s="54"/>
      <c r="I338" s="55"/>
    </row>
    <row r="339" spans="1:9" s="4" customFormat="1">
      <c r="A339" s="64"/>
      <c r="B339" s="77"/>
      <c r="C339" s="50"/>
      <c r="D339" s="50"/>
      <c r="E339" s="50"/>
      <c r="F339" s="65"/>
      <c r="G339" s="50"/>
      <c r="H339" s="54"/>
      <c r="I339" s="55"/>
    </row>
    <row r="340" spans="1:9" s="4" customFormat="1">
      <c r="A340" s="64"/>
      <c r="B340" s="77"/>
      <c r="C340" s="50"/>
      <c r="D340" s="50"/>
      <c r="E340" s="50"/>
      <c r="F340" s="65"/>
      <c r="G340" s="50"/>
      <c r="H340" s="54"/>
      <c r="I340" s="55"/>
    </row>
    <row r="341" spans="1:9" s="4" customFormat="1">
      <c r="A341" s="64"/>
      <c r="B341" s="77"/>
      <c r="C341" s="50"/>
      <c r="D341" s="50"/>
      <c r="E341" s="50"/>
      <c r="F341" s="65"/>
      <c r="G341" s="50"/>
      <c r="H341" s="54"/>
      <c r="I341" s="55"/>
    </row>
    <row r="342" spans="1:9" s="4" customFormat="1">
      <c r="A342" s="64"/>
      <c r="B342" s="77"/>
      <c r="C342" s="50"/>
      <c r="D342" s="50"/>
      <c r="E342" s="50"/>
      <c r="F342" s="65"/>
      <c r="G342" s="50"/>
      <c r="H342" s="54"/>
      <c r="I342" s="55"/>
    </row>
    <row r="343" spans="1:9" s="4" customFormat="1">
      <c r="A343" s="64"/>
      <c r="B343" s="77"/>
      <c r="C343" s="50"/>
      <c r="D343" s="50"/>
      <c r="E343" s="50"/>
      <c r="F343" s="65"/>
      <c r="G343" s="50"/>
      <c r="H343" s="54"/>
      <c r="I343" s="55"/>
    </row>
    <row r="344" spans="1:9" s="4" customFormat="1">
      <c r="A344" s="64"/>
      <c r="B344" s="77"/>
      <c r="C344" s="50"/>
      <c r="D344" s="50"/>
      <c r="E344" s="50"/>
      <c r="F344" s="65"/>
      <c r="G344" s="50"/>
      <c r="H344" s="54"/>
      <c r="I344" s="55"/>
    </row>
    <row r="345" spans="1:9" s="4" customFormat="1">
      <c r="A345" s="64"/>
      <c r="B345" s="77"/>
      <c r="C345" s="50"/>
      <c r="D345" s="50"/>
      <c r="E345" s="50"/>
      <c r="F345" s="65"/>
      <c r="G345" s="50"/>
      <c r="H345" s="54"/>
      <c r="I345" s="55"/>
    </row>
    <row r="346" spans="1:9" s="4" customFormat="1">
      <c r="A346" s="64"/>
      <c r="B346" s="77"/>
      <c r="C346" s="50"/>
      <c r="D346" s="50"/>
      <c r="E346" s="50"/>
      <c r="F346" s="65"/>
      <c r="G346" s="50"/>
      <c r="H346" s="54"/>
      <c r="I346" s="55"/>
    </row>
    <row r="347" spans="1:9" s="4" customFormat="1">
      <c r="A347" s="64"/>
      <c r="B347" s="77"/>
      <c r="C347" s="50"/>
      <c r="D347" s="50"/>
      <c r="E347" s="50"/>
      <c r="F347" s="65"/>
      <c r="G347" s="50"/>
      <c r="H347" s="54"/>
      <c r="I347" s="55"/>
    </row>
    <row r="348" spans="1:9" s="4" customFormat="1">
      <c r="A348" s="64"/>
      <c r="B348" s="77"/>
      <c r="C348" s="50"/>
      <c r="D348" s="50"/>
      <c r="E348" s="50"/>
      <c r="F348" s="65"/>
      <c r="G348" s="50"/>
      <c r="H348" s="54"/>
      <c r="I348" s="55"/>
    </row>
    <row r="349" spans="1:9" s="4" customFormat="1">
      <c r="A349" s="64"/>
      <c r="B349" s="77"/>
      <c r="C349" s="50"/>
      <c r="D349" s="50"/>
      <c r="E349" s="50"/>
      <c r="F349" s="65"/>
      <c r="G349" s="50"/>
      <c r="H349" s="54"/>
      <c r="I349" s="55"/>
    </row>
    <row r="350" spans="1:9" s="4" customFormat="1">
      <c r="A350" s="64"/>
      <c r="B350" s="77"/>
      <c r="C350" s="50"/>
      <c r="D350" s="50"/>
      <c r="E350" s="50"/>
      <c r="F350" s="65"/>
      <c r="G350" s="50"/>
      <c r="H350" s="54"/>
      <c r="I350" s="55"/>
    </row>
    <row r="351" spans="1:9" s="4" customFormat="1">
      <c r="A351" s="64"/>
      <c r="B351" s="77"/>
      <c r="C351" s="50"/>
      <c r="D351" s="50"/>
      <c r="E351" s="50"/>
      <c r="F351" s="65"/>
      <c r="G351" s="50"/>
      <c r="H351" s="54"/>
      <c r="I351" s="55"/>
    </row>
    <row r="352" spans="1:9" s="4" customFormat="1">
      <c r="A352" s="64"/>
      <c r="B352" s="77"/>
      <c r="C352" s="50"/>
      <c r="D352" s="50"/>
      <c r="E352" s="50"/>
      <c r="F352" s="65"/>
      <c r="G352" s="50"/>
      <c r="H352" s="54"/>
      <c r="I352" s="55"/>
    </row>
    <row r="353" spans="1:9" s="4" customFormat="1">
      <c r="A353" s="64"/>
      <c r="B353" s="77"/>
      <c r="C353" s="50"/>
      <c r="D353" s="50"/>
      <c r="E353" s="50"/>
      <c r="F353" s="65"/>
      <c r="G353" s="50"/>
      <c r="H353" s="54"/>
      <c r="I353" s="55"/>
    </row>
    <row r="354" spans="1:9" s="4" customFormat="1">
      <c r="A354" s="64"/>
      <c r="B354" s="77"/>
      <c r="C354" s="50"/>
      <c r="D354" s="50"/>
      <c r="E354" s="50"/>
      <c r="F354" s="65"/>
      <c r="G354" s="50"/>
      <c r="H354" s="54"/>
      <c r="I354" s="55"/>
    </row>
    <row r="355" spans="1:9" s="4" customFormat="1">
      <c r="A355" s="64"/>
      <c r="B355" s="77"/>
      <c r="C355" s="50"/>
      <c r="D355" s="50"/>
      <c r="E355" s="50"/>
      <c r="F355" s="65"/>
      <c r="G355" s="50"/>
      <c r="H355" s="54"/>
      <c r="I355" s="55"/>
    </row>
    <row r="356" spans="1:9" s="4" customFormat="1">
      <c r="A356" s="64"/>
      <c r="B356" s="77"/>
      <c r="C356" s="50"/>
      <c r="D356" s="50"/>
      <c r="E356" s="50"/>
      <c r="F356" s="65"/>
      <c r="G356" s="50"/>
      <c r="H356" s="54"/>
      <c r="I356" s="55"/>
    </row>
    <row r="357" spans="1:9" s="4" customFormat="1">
      <c r="A357" s="64"/>
      <c r="B357" s="77"/>
      <c r="C357" s="50"/>
      <c r="D357" s="50"/>
      <c r="E357" s="50"/>
      <c r="F357" s="65"/>
      <c r="G357" s="50"/>
      <c r="H357" s="54"/>
      <c r="I357" s="55"/>
    </row>
    <row r="358" spans="1:9" s="4" customFormat="1">
      <c r="A358" s="64"/>
      <c r="B358" s="77"/>
      <c r="C358" s="50"/>
      <c r="D358" s="50"/>
      <c r="E358" s="50"/>
      <c r="F358" s="65"/>
      <c r="G358" s="50"/>
      <c r="H358" s="54"/>
      <c r="I358" s="55"/>
    </row>
    <row r="359" spans="1:9" s="4" customFormat="1">
      <c r="A359" s="64"/>
      <c r="B359" s="77"/>
      <c r="C359" s="50"/>
      <c r="D359" s="50"/>
      <c r="E359" s="50"/>
      <c r="F359" s="65"/>
      <c r="G359" s="50"/>
      <c r="H359" s="54"/>
      <c r="I359" s="55"/>
    </row>
    <row r="360" spans="1:9" s="4" customFormat="1">
      <c r="A360" s="82"/>
      <c r="B360" s="56"/>
      <c r="C360" s="56"/>
      <c r="D360" s="56"/>
      <c r="E360" s="56"/>
      <c r="F360" s="56"/>
      <c r="G360" s="56"/>
      <c r="H360" s="56"/>
      <c r="I360" s="56"/>
    </row>
    <row r="361" spans="1:9" s="4" customFormat="1">
      <c r="A361" s="36"/>
      <c r="B361" s="50"/>
      <c r="C361" s="50"/>
      <c r="D361" s="50"/>
      <c r="E361" s="50"/>
      <c r="F361" s="36"/>
      <c r="G361" s="36"/>
      <c r="H361" s="36"/>
      <c r="I361" s="36"/>
    </row>
    <row r="362" spans="1:9" s="4" customFormat="1">
      <c r="A362" s="36"/>
      <c r="B362" s="36"/>
      <c r="C362" s="78"/>
      <c r="D362" s="78"/>
      <c r="E362" s="79"/>
      <c r="F362" s="80"/>
      <c r="G362" s="78"/>
      <c r="H362" s="36"/>
      <c r="I362" s="81"/>
    </row>
    <row r="363" spans="1:9" s="4" customFormat="1" ht="12"/>
    <row r="364" spans="1:9" s="4" customFormat="1" ht="20.25">
      <c r="A364" s="66"/>
      <c r="B364" s="67"/>
      <c r="G364" s="57"/>
      <c r="H364" s="57"/>
      <c r="I364" s="57"/>
    </row>
    <row r="365" spans="1:9" s="4" customFormat="1" ht="20.25">
      <c r="A365" s="57"/>
      <c r="B365" s="57"/>
      <c r="C365" s="57"/>
      <c r="D365" s="57"/>
      <c r="E365" s="57"/>
      <c r="F365" s="57"/>
      <c r="G365" s="57"/>
      <c r="H365" s="57"/>
      <c r="I365" s="57"/>
    </row>
    <row r="366" spans="1:9" s="4" customFormat="1" ht="20.25">
      <c r="A366" s="618"/>
      <c r="B366" s="668"/>
      <c r="C366" s="668"/>
      <c r="D366" s="522"/>
      <c r="E366" s="57"/>
      <c r="F366" s="57"/>
      <c r="G366" s="57"/>
      <c r="H366" s="57"/>
      <c r="I366" s="57"/>
    </row>
    <row r="367" spans="1:9" s="4" customFormat="1">
      <c r="A367" s="68"/>
      <c r="B367" s="68"/>
      <c r="C367" s="68"/>
      <c r="D367" s="68"/>
      <c r="E367" s="68"/>
      <c r="F367" s="68"/>
      <c r="G367" s="69"/>
      <c r="H367" s="69"/>
      <c r="I367" s="615"/>
    </row>
    <row r="368" spans="1:9" s="4" customFormat="1">
      <c r="A368" s="68"/>
      <c r="B368" s="68"/>
      <c r="C368" s="68"/>
      <c r="D368" s="68"/>
      <c r="E368" s="68"/>
      <c r="F368" s="68"/>
      <c r="G368" s="69"/>
      <c r="H368" s="69"/>
      <c r="I368" s="615"/>
    </row>
    <row r="369" spans="1:9" s="4" customFormat="1">
      <c r="A369" s="36"/>
      <c r="B369" s="36"/>
      <c r="C369" s="36"/>
      <c r="D369" s="36"/>
      <c r="E369" s="36"/>
      <c r="F369" s="36"/>
      <c r="G369" s="36"/>
      <c r="H369" s="50"/>
      <c r="I369" s="36"/>
    </row>
    <row r="370" spans="1:9" s="4" customFormat="1">
      <c r="A370" s="36"/>
      <c r="B370" s="36"/>
      <c r="C370" s="36"/>
      <c r="D370" s="36"/>
      <c r="E370" s="36"/>
      <c r="F370" s="36"/>
      <c r="G370" s="58"/>
      <c r="H370" s="70"/>
      <c r="I370" s="50"/>
    </row>
    <row r="371" spans="1:9" s="4" customFormat="1">
      <c r="A371" s="36"/>
      <c r="B371" s="36"/>
      <c r="C371" s="36"/>
      <c r="D371" s="36"/>
      <c r="E371" s="36"/>
      <c r="F371" s="36"/>
      <c r="G371" s="59"/>
      <c r="H371" s="70"/>
      <c r="I371" s="50"/>
    </row>
    <row r="372" spans="1:9" s="4" customFormat="1">
      <c r="A372" s="36"/>
      <c r="B372" s="36"/>
      <c r="C372" s="36"/>
      <c r="D372" s="36"/>
      <c r="E372" s="36"/>
      <c r="F372" s="36"/>
      <c r="G372" s="60"/>
      <c r="H372" s="70"/>
      <c r="I372" s="50"/>
    </row>
    <row r="373" spans="1:9" s="4" customFormat="1">
      <c r="A373" s="36"/>
      <c r="B373" s="36"/>
      <c r="C373" s="36"/>
      <c r="D373" s="36"/>
      <c r="E373" s="36"/>
      <c r="F373" s="36"/>
      <c r="G373" s="60"/>
      <c r="H373" s="70"/>
      <c r="I373" s="50"/>
    </row>
    <row r="374" spans="1:9" s="4" customFormat="1">
      <c r="A374" s="36"/>
      <c r="B374" s="36"/>
      <c r="C374" s="36"/>
      <c r="D374" s="36"/>
      <c r="E374" s="36"/>
      <c r="F374" s="36"/>
      <c r="G374" s="60"/>
      <c r="H374" s="70"/>
      <c r="I374" s="50"/>
    </row>
    <row r="375" spans="1:9" s="4" customFormat="1">
      <c r="A375" s="36"/>
      <c r="B375" s="36"/>
      <c r="C375" s="36"/>
      <c r="D375" s="36"/>
      <c r="E375" s="36"/>
      <c r="F375" s="36"/>
      <c r="G375" s="60"/>
      <c r="H375" s="70"/>
      <c r="I375" s="50"/>
    </row>
    <row r="376" spans="1:9" s="4" customFormat="1">
      <c r="A376" s="36"/>
      <c r="B376" s="36"/>
      <c r="C376" s="36"/>
      <c r="D376" s="36"/>
      <c r="E376" s="36"/>
      <c r="F376" s="36"/>
      <c r="G376" s="36"/>
      <c r="H376" s="36"/>
      <c r="I376" s="36"/>
    </row>
    <row r="377" spans="1:9" s="4" customFormat="1">
      <c r="A377" s="68"/>
      <c r="B377" s="68"/>
      <c r="C377" s="68"/>
      <c r="D377" s="68"/>
      <c r="E377" s="68"/>
      <c r="F377" s="68"/>
      <c r="G377" s="622"/>
      <c r="H377" s="71"/>
      <c r="I377" s="71"/>
    </row>
    <row r="378" spans="1:9" s="4" customFormat="1">
      <c r="A378" s="68"/>
      <c r="B378" s="68"/>
      <c r="C378" s="68"/>
      <c r="D378" s="68"/>
      <c r="E378" s="68"/>
      <c r="F378" s="68"/>
      <c r="G378" s="622"/>
      <c r="H378" s="71"/>
      <c r="I378" s="71"/>
    </row>
    <row r="379" spans="1:9" s="4" customFormat="1">
      <c r="A379" s="61"/>
      <c r="B379" s="36"/>
      <c r="C379" s="62"/>
      <c r="D379" s="62"/>
      <c r="E379" s="62"/>
      <c r="F379" s="36"/>
      <c r="G379" s="62"/>
      <c r="H379" s="72"/>
      <c r="I379" s="50"/>
    </row>
    <row r="380" spans="1:9" s="4" customFormat="1">
      <c r="A380" s="36"/>
      <c r="B380" s="36"/>
      <c r="C380" s="36"/>
      <c r="D380" s="36"/>
      <c r="E380" s="36"/>
      <c r="F380" s="36"/>
      <c r="G380" s="50"/>
      <c r="H380" s="50"/>
      <c r="I380" s="70"/>
    </row>
    <row r="381" spans="1:9" s="4" customFormat="1">
      <c r="A381" s="36"/>
      <c r="B381" s="36"/>
      <c r="C381" s="36"/>
      <c r="D381" s="36"/>
      <c r="E381" s="36"/>
      <c r="F381" s="36"/>
      <c r="G381" s="70"/>
      <c r="H381" s="50"/>
      <c r="I381" s="50"/>
    </row>
    <row r="382" spans="1:9" s="4" customFormat="1">
      <c r="A382" s="36"/>
      <c r="B382" s="36"/>
      <c r="C382" s="36"/>
      <c r="D382" s="36"/>
      <c r="E382" s="36"/>
      <c r="F382" s="36"/>
      <c r="G382" s="47"/>
      <c r="H382" s="50"/>
      <c r="I382" s="50"/>
    </row>
    <row r="383" spans="1:9" s="4" customFormat="1">
      <c r="A383" s="36"/>
      <c r="B383" s="36"/>
      <c r="C383" s="36"/>
      <c r="D383" s="36"/>
      <c r="E383" s="36"/>
      <c r="F383" s="36"/>
      <c r="G383" s="73"/>
      <c r="H383" s="50"/>
      <c r="I383" s="50"/>
    </row>
    <row r="384" spans="1:9" s="4" customFormat="1">
      <c r="A384" s="36"/>
      <c r="B384" s="36"/>
      <c r="C384" s="36"/>
      <c r="D384" s="36"/>
      <c r="E384" s="36"/>
      <c r="F384" s="50"/>
      <c r="G384" s="36"/>
      <c r="H384" s="36"/>
      <c r="I384" s="36"/>
    </row>
    <row r="385" spans="1:9" s="4" customFormat="1">
      <c r="A385" s="63"/>
      <c r="B385" s="36"/>
      <c r="C385" s="36"/>
      <c r="D385" s="36"/>
      <c r="E385" s="36"/>
      <c r="F385" s="50"/>
      <c r="G385" s="36"/>
      <c r="H385" s="36"/>
      <c r="I385" s="36"/>
    </row>
    <row r="386" spans="1:9" s="4" customFormat="1">
      <c r="A386" s="36"/>
      <c r="B386" s="74"/>
      <c r="C386" s="36"/>
      <c r="D386" s="36"/>
      <c r="E386" s="36"/>
      <c r="F386" s="36"/>
      <c r="G386" s="36"/>
      <c r="H386" s="36"/>
      <c r="I386" s="36"/>
    </row>
    <row r="387" spans="1:9" s="4" customFormat="1">
      <c r="A387" s="619"/>
      <c r="B387" s="521"/>
      <c r="C387" s="521"/>
      <c r="D387" s="521"/>
      <c r="E387" s="619"/>
      <c r="F387" s="619"/>
      <c r="G387" s="619"/>
      <c r="H387" s="619"/>
      <c r="I387" s="619"/>
    </row>
    <row r="388" spans="1:9" s="4" customFormat="1">
      <c r="A388" s="619"/>
      <c r="B388" s="521"/>
      <c r="C388" s="521"/>
      <c r="D388" s="521"/>
      <c r="E388" s="521"/>
      <c r="F388" s="521"/>
      <c r="G388" s="620"/>
      <c r="H388" s="620"/>
      <c r="I388" s="620"/>
    </row>
    <row r="389" spans="1:9" s="4" customFormat="1">
      <c r="A389" s="64"/>
      <c r="B389" s="76"/>
      <c r="C389" s="50"/>
      <c r="D389" s="50"/>
      <c r="E389" s="50"/>
      <c r="F389" s="65"/>
      <c r="G389" s="50"/>
      <c r="H389" s="50"/>
      <c r="I389" s="55"/>
    </row>
    <row r="390" spans="1:9" s="4" customFormat="1">
      <c r="A390" s="64"/>
      <c r="B390" s="76"/>
      <c r="C390" s="50"/>
      <c r="D390" s="50"/>
      <c r="E390" s="50"/>
      <c r="F390" s="65"/>
      <c r="G390" s="50"/>
      <c r="H390" s="54"/>
      <c r="I390" s="55"/>
    </row>
    <row r="391" spans="1:9" s="4" customFormat="1">
      <c r="A391" s="64"/>
      <c r="B391" s="76"/>
      <c r="C391" s="50"/>
      <c r="D391" s="50"/>
      <c r="E391" s="50"/>
      <c r="F391" s="65"/>
      <c r="G391" s="50"/>
      <c r="H391" s="54"/>
      <c r="I391" s="36"/>
    </row>
    <row r="392" spans="1:9" s="4" customFormat="1">
      <c r="A392" s="64"/>
      <c r="B392" s="76"/>
      <c r="C392" s="50"/>
      <c r="D392" s="50"/>
      <c r="E392" s="50"/>
      <c r="F392" s="65"/>
      <c r="G392" s="50"/>
      <c r="H392" s="54"/>
      <c r="I392" s="55"/>
    </row>
    <row r="393" spans="1:9" s="4" customFormat="1">
      <c r="A393" s="64"/>
      <c r="B393" s="77"/>
      <c r="C393" s="50"/>
      <c r="D393" s="50"/>
      <c r="E393" s="50"/>
      <c r="F393" s="65"/>
      <c r="G393" s="50"/>
      <c r="H393" s="54"/>
      <c r="I393" s="55"/>
    </row>
    <row r="394" spans="1:9" s="4" customFormat="1">
      <c r="A394" s="64"/>
      <c r="B394" s="77"/>
      <c r="C394" s="50"/>
      <c r="D394" s="50"/>
      <c r="E394" s="50"/>
      <c r="F394" s="65"/>
      <c r="G394" s="50"/>
      <c r="H394" s="54"/>
      <c r="I394" s="55"/>
    </row>
    <row r="395" spans="1:9" s="4" customFormat="1">
      <c r="A395" s="64"/>
      <c r="B395" s="77"/>
      <c r="C395" s="50"/>
      <c r="D395" s="50"/>
      <c r="E395" s="50"/>
      <c r="F395" s="65"/>
      <c r="G395" s="50"/>
      <c r="H395" s="54"/>
      <c r="I395" s="55"/>
    </row>
    <row r="396" spans="1:9" s="4" customFormat="1">
      <c r="A396" s="64"/>
      <c r="B396" s="77"/>
      <c r="C396" s="50"/>
      <c r="D396" s="50"/>
      <c r="E396" s="50"/>
      <c r="F396" s="65"/>
      <c r="G396" s="50"/>
      <c r="H396" s="54"/>
      <c r="I396" s="55"/>
    </row>
    <row r="397" spans="1:9" s="4" customFormat="1">
      <c r="A397" s="64"/>
      <c r="B397" s="77"/>
      <c r="C397" s="50"/>
      <c r="D397" s="50"/>
      <c r="E397" s="50"/>
      <c r="F397" s="65"/>
      <c r="G397" s="50"/>
      <c r="H397" s="54"/>
      <c r="I397" s="55"/>
    </row>
    <row r="398" spans="1:9" s="4" customFormat="1">
      <c r="A398" s="64"/>
      <c r="B398" s="77"/>
      <c r="C398" s="50"/>
      <c r="D398" s="50"/>
      <c r="E398" s="50"/>
      <c r="F398" s="65"/>
      <c r="G398" s="50"/>
      <c r="H398" s="54"/>
      <c r="I398" s="55"/>
    </row>
    <row r="399" spans="1:9" s="4" customFormat="1">
      <c r="A399" s="64"/>
      <c r="B399" s="77"/>
      <c r="C399" s="50"/>
      <c r="D399" s="50"/>
      <c r="E399" s="50"/>
      <c r="F399" s="65"/>
      <c r="G399" s="50"/>
      <c r="H399" s="54"/>
      <c r="I399" s="55"/>
    </row>
    <row r="400" spans="1:9" s="4" customFormat="1">
      <c r="A400" s="64"/>
      <c r="B400" s="77"/>
      <c r="C400" s="50"/>
      <c r="D400" s="50"/>
      <c r="E400" s="50"/>
      <c r="F400" s="65"/>
      <c r="G400" s="50"/>
      <c r="H400" s="54"/>
      <c r="I400" s="55"/>
    </row>
    <row r="401" spans="1:9" s="4" customFormat="1">
      <c r="A401" s="64"/>
      <c r="B401" s="77"/>
      <c r="C401" s="50"/>
      <c r="D401" s="50"/>
      <c r="E401" s="50"/>
      <c r="F401" s="65"/>
      <c r="G401" s="50"/>
      <c r="H401" s="54"/>
      <c r="I401" s="55"/>
    </row>
    <row r="402" spans="1:9" s="4" customFormat="1">
      <c r="A402" s="64"/>
      <c r="B402" s="77"/>
      <c r="C402" s="50"/>
      <c r="D402" s="50"/>
      <c r="E402" s="50"/>
      <c r="F402" s="65"/>
      <c r="G402" s="50"/>
      <c r="H402" s="54"/>
      <c r="I402" s="55"/>
    </row>
    <row r="403" spans="1:9" s="4" customFormat="1">
      <c r="A403" s="64"/>
      <c r="B403" s="77"/>
      <c r="C403" s="50"/>
      <c r="D403" s="50"/>
      <c r="E403" s="50"/>
      <c r="F403" s="65"/>
      <c r="G403" s="50"/>
      <c r="H403" s="54"/>
      <c r="I403" s="55"/>
    </row>
    <row r="404" spans="1:9" s="4" customFormat="1">
      <c r="A404" s="64"/>
      <c r="B404" s="77"/>
      <c r="C404" s="50"/>
      <c r="D404" s="50"/>
      <c r="E404" s="50"/>
      <c r="F404" s="65"/>
      <c r="G404" s="50"/>
      <c r="H404" s="54"/>
      <c r="I404" s="55"/>
    </row>
    <row r="405" spans="1:9" s="4" customFormat="1">
      <c r="A405" s="64"/>
      <c r="B405" s="77"/>
      <c r="C405" s="50"/>
      <c r="D405" s="50"/>
      <c r="E405" s="50"/>
      <c r="F405" s="65"/>
      <c r="G405" s="50"/>
      <c r="H405" s="54"/>
      <c r="I405" s="55"/>
    </row>
    <row r="406" spans="1:9" s="4" customFormat="1">
      <c r="A406" s="64"/>
      <c r="B406" s="77"/>
      <c r="C406" s="50"/>
      <c r="D406" s="50"/>
      <c r="E406" s="50"/>
      <c r="F406" s="65"/>
      <c r="G406" s="50"/>
      <c r="H406" s="54"/>
      <c r="I406" s="55"/>
    </row>
    <row r="407" spans="1:9" s="4" customFormat="1">
      <c r="A407" s="64"/>
      <c r="B407" s="77"/>
      <c r="C407" s="50"/>
      <c r="D407" s="50"/>
      <c r="E407" s="50"/>
      <c r="F407" s="65"/>
      <c r="G407" s="50"/>
      <c r="H407" s="54"/>
      <c r="I407" s="55"/>
    </row>
    <row r="408" spans="1:9" s="4" customFormat="1">
      <c r="A408" s="64"/>
      <c r="B408" s="77"/>
      <c r="C408" s="50"/>
      <c r="D408" s="50"/>
      <c r="E408" s="50"/>
      <c r="F408" s="65"/>
      <c r="G408" s="50"/>
      <c r="H408" s="54"/>
      <c r="I408" s="55"/>
    </row>
    <row r="409" spans="1:9" s="4" customFormat="1">
      <c r="A409" s="64"/>
      <c r="B409" s="77"/>
      <c r="C409" s="50"/>
      <c r="D409" s="50"/>
      <c r="E409" s="50"/>
      <c r="F409" s="65"/>
      <c r="G409" s="50"/>
      <c r="H409" s="54"/>
      <c r="I409" s="55"/>
    </row>
    <row r="410" spans="1:9" s="4" customFormat="1">
      <c r="A410" s="64"/>
      <c r="B410" s="77"/>
      <c r="C410" s="50"/>
      <c r="D410" s="50"/>
      <c r="E410" s="50"/>
      <c r="F410" s="65"/>
      <c r="G410" s="50"/>
      <c r="H410" s="54"/>
      <c r="I410" s="55"/>
    </row>
    <row r="411" spans="1:9" s="4" customFormat="1">
      <c r="A411" s="64"/>
      <c r="B411" s="77"/>
      <c r="C411" s="50"/>
      <c r="D411" s="50"/>
      <c r="E411" s="50"/>
      <c r="F411" s="65"/>
      <c r="G411" s="50"/>
      <c r="H411" s="54"/>
      <c r="I411" s="55"/>
    </row>
    <row r="412" spans="1:9" s="4" customFormat="1">
      <c r="A412" s="64"/>
      <c r="B412" s="77"/>
      <c r="C412" s="50"/>
      <c r="D412" s="50"/>
      <c r="E412" s="50"/>
      <c r="F412" s="65"/>
      <c r="G412" s="50"/>
      <c r="H412" s="54"/>
      <c r="I412" s="55"/>
    </row>
    <row r="413" spans="1:9" s="4" customFormat="1">
      <c r="A413" s="64"/>
      <c r="B413" s="77"/>
      <c r="C413" s="50"/>
      <c r="D413" s="50"/>
      <c r="E413" s="50"/>
      <c r="F413" s="65"/>
      <c r="G413" s="50"/>
      <c r="H413" s="54"/>
      <c r="I413" s="55"/>
    </row>
    <row r="414" spans="1:9" s="4" customFormat="1">
      <c r="A414" s="82"/>
      <c r="B414" s="56"/>
      <c r="C414" s="56"/>
      <c r="D414" s="56"/>
      <c r="E414" s="56"/>
      <c r="F414" s="56"/>
      <c r="G414" s="56"/>
      <c r="H414" s="56"/>
      <c r="I414" s="56"/>
    </row>
    <row r="415" spans="1:9" s="4" customFormat="1">
      <c r="A415" s="36"/>
      <c r="B415" s="50"/>
      <c r="C415" s="50"/>
      <c r="D415" s="50"/>
      <c r="E415" s="50"/>
      <c r="F415" s="36"/>
      <c r="G415" s="36"/>
      <c r="H415" s="36"/>
      <c r="I415" s="36"/>
    </row>
    <row r="416" spans="1:9" s="4" customFormat="1">
      <c r="A416" s="36"/>
      <c r="B416" s="36"/>
      <c r="C416" s="78"/>
      <c r="D416" s="78"/>
      <c r="E416" s="79"/>
      <c r="F416" s="80"/>
      <c r="G416" s="78"/>
      <c r="H416" s="36"/>
      <c r="I416" s="81"/>
    </row>
    <row r="417" spans="1:9" s="4" customFormat="1" ht="12"/>
    <row r="418" spans="1:9" s="4" customFormat="1" ht="20.25">
      <c r="A418" s="66"/>
      <c r="B418" s="67"/>
      <c r="G418" s="57"/>
      <c r="H418" s="57"/>
      <c r="I418" s="57"/>
    </row>
    <row r="419" spans="1:9" s="4" customFormat="1" ht="20.25">
      <c r="A419" s="57"/>
      <c r="B419" s="57"/>
      <c r="C419" s="57"/>
      <c r="D419" s="57"/>
      <c r="E419" s="57"/>
      <c r="F419" s="57"/>
      <c r="G419" s="57"/>
      <c r="H419" s="57"/>
      <c r="I419" s="57"/>
    </row>
    <row r="420" spans="1:9" s="4" customFormat="1" ht="20.25">
      <c r="A420" s="618"/>
      <c r="B420" s="668"/>
      <c r="C420" s="668"/>
      <c r="D420" s="522"/>
      <c r="E420" s="57"/>
      <c r="F420" s="57"/>
      <c r="G420" s="57"/>
      <c r="H420" s="57"/>
      <c r="I420" s="57"/>
    </row>
    <row r="421" spans="1:9" s="4" customFormat="1">
      <c r="A421" s="68"/>
      <c r="B421" s="68"/>
      <c r="C421" s="68"/>
      <c r="D421" s="68"/>
      <c r="E421" s="68"/>
      <c r="F421" s="68"/>
      <c r="G421" s="69"/>
      <c r="H421" s="69"/>
      <c r="I421" s="615"/>
    </row>
    <row r="422" spans="1:9" s="4" customFormat="1">
      <c r="A422" s="68"/>
      <c r="B422" s="68"/>
      <c r="C422" s="68"/>
      <c r="D422" s="68"/>
      <c r="E422" s="68"/>
      <c r="F422" s="68"/>
      <c r="G422" s="69"/>
      <c r="H422" s="69"/>
      <c r="I422" s="615"/>
    </row>
    <row r="423" spans="1:9" s="4" customFormat="1">
      <c r="A423" s="36"/>
      <c r="B423" s="36"/>
      <c r="C423" s="36"/>
      <c r="D423" s="36"/>
      <c r="E423" s="36"/>
      <c r="F423" s="36"/>
      <c r="G423" s="36"/>
      <c r="H423" s="50"/>
      <c r="I423" s="36"/>
    </row>
    <row r="424" spans="1:9" s="4" customFormat="1">
      <c r="A424" s="36"/>
      <c r="B424" s="36"/>
      <c r="C424" s="36"/>
      <c r="D424" s="36"/>
      <c r="E424" s="36"/>
      <c r="F424" s="36"/>
      <c r="G424" s="58"/>
      <c r="H424" s="70"/>
      <c r="I424" s="50"/>
    </row>
    <row r="425" spans="1:9" s="4" customFormat="1">
      <c r="A425" s="36"/>
      <c r="B425" s="36"/>
      <c r="C425" s="36"/>
      <c r="D425" s="36"/>
      <c r="E425" s="36"/>
      <c r="F425" s="36"/>
      <c r="G425" s="59"/>
      <c r="H425" s="70"/>
      <c r="I425" s="50"/>
    </row>
    <row r="426" spans="1:9" s="4" customFormat="1">
      <c r="A426" s="36"/>
      <c r="B426" s="36"/>
      <c r="C426" s="36"/>
      <c r="D426" s="36"/>
      <c r="E426" s="36"/>
      <c r="F426" s="36"/>
      <c r="G426" s="60"/>
      <c r="H426" s="70"/>
      <c r="I426" s="50"/>
    </row>
    <row r="427" spans="1:9" s="4" customFormat="1">
      <c r="A427" s="36"/>
      <c r="B427" s="36"/>
      <c r="C427" s="36"/>
      <c r="D427" s="36"/>
      <c r="E427" s="36"/>
      <c r="F427" s="36"/>
      <c r="G427" s="60"/>
      <c r="H427" s="70"/>
      <c r="I427" s="50"/>
    </row>
    <row r="428" spans="1:9" s="4" customFormat="1">
      <c r="A428" s="36"/>
      <c r="B428" s="36"/>
      <c r="C428" s="36"/>
      <c r="D428" s="36"/>
      <c r="E428" s="36"/>
      <c r="F428" s="36"/>
      <c r="G428" s="60"/>
      <c r="H428" s="70"/>
      <c r="I428" s="50"/>
    </row>
    <row r="429" spans="1:9" s="4" customFormat="1">
      <c r="A429" s="36"/>
      <c r="B429" s="36"/>
      <c r="C429" s="36"/>
      <c r="D429" s="36"/>
      <c r="E429" s="36"/>
      <c r="F429" s="36"/>
      <c r="G429" s="60"/>
      <c r="H429" s="70"/>
      <c r="I429" s="50"/>
    </row>
    <row r="430" spans="1:9" s="4" customFormat="1">
      <c r="A430" s="36"/>
      <c r="B430" s="36"/>
      <c r="C430" s="36"/>
      <c r="D430" s="36"/>
      <c r="E430" s="36"/>
      <c r="F430" s="36"/>
      <c r="G430" s="36"/>
      <c r="H430" s="36"/>
      <c r="I430" s="36"/>
    </row>
    <row r="431" spans="1:9" s="4" customFormat="1">
      <c r="A431" s="68"/>
      <c r="B431" s="68"/>
      <c r="C431" s="68"/>
      <c r="D431" s="68"/>
      <c r="E431" s="68"/>
      <c r="F431" s="68"/>
      <c r="G431" s="622"/>
      <c r="H431" s="71"/>
      <c r="I431" s="71"/>
    </row>
    <row r="432" spans="1:9" s="4" customFormat="1">
      <c r="A432" s="68"/>
      <c r="B432" s="68"/>
      <c r="C432" s="68"/>
      <c r="D432" s="68"/>
      <c r="E432" s="68"/>
      <c r="F432" s="68"/>
      <c r="G432" s="622"/>
      <c r="H432" s="71"/>
      <c r="I432" s="71"/>
    </row>
    <row r="433" spans="1:9" s="4" customFormat="1">
      <c r="A433" s="61"/>
      <c r="B433" s="36"/>
      <c r="C433" s="62"/>
      <c r="D433" s="62"/>
      <c r="E433" s="62"/>
      <c r="F433" s="36"/>
      <c r="G433" s="62"/>
      <c r="H433" s="72"/>
      <c r="I433" s="50"/>
    </row>
    <row r="434" spans="1:9" s="4" customFormat="1">
      <c r="A434" s="36"/>
      <c r="B434" s="36"/>
      <c r="C434" s="36"/>
      <c r="D434" s="36"/>
      <c r="E434" s="36"/>
      <c r="F434" s="36"/>
      <c r="G434" s="50"/>
      <c r="H434" s="50"/>
      <c r="I434" s="70"/>
    </row>
    <row r="435" spans="1:9" s="4" customFormat="1">
      <c r="A435" s="36"/>
      <c r="B435" s="36"/>
      <c r="C435" s="36"/>
      <c r="D435" s="36"/>
      <c r="E435" s="36"/>
      <c r="F435" s="36"/>
      <c r="G435" s="70"/>
      <c r="H435" s="50"/>
      <c r="I435" s="50"/>
    </row>
    <row r="436" spans="1:9" s="4" customFormat="1">
      <c r="A436" s="36"/>
      <c r="B436" s="36"/>
      <c r="C436" s="36"/>
      <c r="D436" s="36"/>
      <c r="E436" s="36"/>
      <c r="F436" s="36"/>
      <c r="G436" s="47"/>
      <c r="H436" s="50"/>
      <c r="I436" s="50"/>
    </row>
    <row r="437" spans="1:9" s="4" customFormat="1">
      <c r="A437" s="36"/>
      <c r="B437" s="36"/>
      <c r="C437" s="36"/>
      <c r="D437" s="36"/>
      <c r="E437" s="36"/>
      <c r="F437" s="36"/>
      <c r="G437" s="73"/>
      <c r="H437" s="50"/>
      <c r="I437" s="50"/>
    </row>
    <row r="438" spans="1:9" s="4" customFormat="1">
      <c r="A438" s="36"/>
      <c r="B438" s="36"/>
      <c r="C438" s="36"/>
      <c r="D438" s="36"/>
      <c r="E438" s="36"/>
      <c r="F438" s="50"/>
      <c r="G438" s="36"/>
      <c r="H438" s="36"/>
      <c r="I438" s="36"/>
    </row>
    <row r="439" spans="1:9" s="4" customFormat="1">
      <c r="A439" s="63"/>
      <c r="B439" s="36"/>
      <c r="C439" s="36"/>
      <c r="D439" s="36"/>
      <c r="E439" s="36"/>
      <c r="F439" s="50"/>
      <c r="G439" s="36"/>
      <c r="H439" s="36"/>
      <c r="I439" s="36"/>
    </row>
    <row r="440" spans="1:9" s="4" customFormat="1">
      <c r="A440" s="36"/>
      <c r="B440" s="74"/>
      <c r="C440" s="36"/>
      <c r="D440" s="36"/>
      <c r="E440" s="36"/>
      <c r="F440" s="36"/>
      <c r="G440" s="36"/>
      <c r="H440" s="36"/>
      <c r="I440" s="36"/>
    </row>
    <row r="441" spans="1:9" s="4" customFormat="1">
      <c r="A441" s="619"/>
      <c r="B441" s="521"/>
      <c r="C441" s="521"/>
      <c r="D441" s="521"/>
      <c r="E441" s="619"/>
      <c r="F441" s="619"/>
      <c r="G441" s="619"/>
      <c r="H441" s="619"/>
      <c r="I441" s="619"/>
    </row>
    <row r="442" spans="1:9" s="4" customFormat="1">
      <c r="A442" s="619"/>
      <c r="B442" s="521"/>
      <c r="C442" s="521"/>
      <c r="D442" s="521"/>
      <c r="E442" s="521"/>
      <c r="F442" s="521"/>
      <c r="G442" s="620"/>
      <c r="H442" s="620"/>
      <c r="I442" s="620"/>
    </row>
    <row r="443" spans="1:9" s="4" customFormat="1">
      <c r="A443" s="64"/>
      <c r="B443" s="76"/>
      <c r="C443" s="50"/>
      <c r="D443" s="50"/>
      <c r="E443" s="50"/>
      <c r="F443" s="65"/>
      <c r="G443" s="50"/>
      <c r="H443" s="50"/>
      <c r="I443" s="55"/>
    </row>
    <row r="444" spans="1:9" s="4" customFormat="1">
      <c r="A444" s="64"/>
      <c r="B444" s="76"/>
      <c r="C444" s="50"/>
      <c r="D444" s="50"/>
      <c r="E444" s="50"/>
      <c r="F444" s="65"/>
      <c r="G444" s="50"/>
      <c r="H444" s="54"/>
      <c r="I444" s="55"/>
    </row>
    <row r="445" spans="1:9" s="4" customFormat="1">
      <c r="A445" s="64"/>
      <c r="B445" s="76"/>
      <c r="C445" s="50"/>
      <c r="D445" s="50"/>
      <c r="E445" s="50"/>
      <c r="F445" s="65"/>
      <c r="G445" s="50"/>
      <c r="H445" s="54"/>
      <c r="I445" s="36"/>
    </row>
    <row r="446" spans="1:9" s="4" customFormat="1">
      <c r="A446" s="64"/>
      <c r="B446" s="76"/>
      <c r="C446" s="50"/>
      <c r="D446" s="50"/>
      <c r="E446" s="50"/>
      <c r="F446" s="65"/>
      <c r="G446" s="50"/>
      <c r="H446" s="54"/>
      <c r="I446" s="55"/>
    </row>
    <row r="447" spans="1:9" s="4" customFormat="1">
      <c r="A447" s="64"/>
      <c r="B447" s="77"/>
      <c r="C447" s="50"/>
      <c r="D447" s="50"/>
      <c r="E447" s="50"/>
      <c r="F447" s="65"/>
      <c r="G447" s="50"/>
      <c r="H447" s="54"/>
      <c r="I447" s="55"/>
    </row>
    <row r="448" spans="1:9" s="4" customFormat="1">
      <c r="A448" s="64"/>
      <c r="B448" s="77"/>
      <c r="C448" s="50"/>
      <c r="D448" s="50"/>
      <c r="E448" s="50"/>
      <c r="F448" s="65"/>
      <c r="G448" s="50"/>
      <c r="H448" s="54"/>
      <c r="I448" s="55"/>
    </row>
    <row r="449" spans="1:9" s="4" customFormat="1">
      <c r="A449" s="64"/>
      <c r="B449" s="77"/>
      <c r="C449" s="50"/>
      <c r="D449" s="50"/>
      <c r="E449" s="50"/>
      <c r="F449" s="65"/>
      <c r="G449" s="50"/>
      <c r="H449" s="54"/>
      <c r="I449" s="55"/>
    </row>
    <row r="450" spans="1:9" s="4" customFormat="1">
      <c r="A450" s="64"/>
      <c r="B450" s="77"/>
      <c r="C450" s="50"/>
      <c r="D450" s="50"/>
      <c r="E450" s="50"/>
      <c r="F450" s="65"/>
      <c r="G450" s="50"/>
      <c r="H450" s="54"/>
      <c r="I450" s="55"/>
    </row>
    <row r="451" spans="1:9" s="4" customFormat="1">
      <c r="A451" s="64"/>
      <c r="B451" s="77"/>
      <c r="C451" s="50"/>
      <c r="D451" s="50"/>
      <c r="E451" s="50"/>
      <c r="F451" s="65"/>
      <c r="G451" s="50"/>
      <c r="H451" s="54"/>
      <c r="I451" s="55"/>
    </row>
    <row r="452" spans="1:9" s="4" customFormat="1">
      <c r="A452" s="64"/>
      <c r="B452" s="77"/>
      <c r="C452" s="50"/>
      <c r="D452" s="50"/>
      <c r="E452" s="50"/>
      <c r="F452" s="65"/>
      <c r="G452" s="50"/>
      <c r="H452" s="54"/>
      <c r="I452" s="55"/>
    </row>
    <row r="453" spans="1:9" s="4" customFormat="1">
      <c r="A453" s="64"/>
      <c r="B453" s="77"/>
      <c r="C453" s="50"/>
      <c r="D453" s="50"/>
      <c r="E453" s="50"/>
      <c r="F453" s="65"/>
      <c r="G453" s="50"/>
      <c r="H453" s="54"/>
      <c r="I453" s="55"/>
    </row>
    <row r="454" spans="1:9" s="4" customFormat="1">
      <c r="A454" s="64"/>
      <c r="B454" s="77"/>
      <c r="C454" s="50"/>
      <c r="D454" s="50"/>
      <c r="E454" s="50"/>
      <c r="F454" s="65"/>
      <c r="G454" s="50"/>
      <c r="H454" s="54"/>
      <c r="I454" s="55"/>
    </row>
    <row r="455" spans="1:9" s="4" customFormat="1">
      <c r="A455" s="64"/>
      <c r="B455" s="77"/>
      <c r="C455" s="50"/>
      <c r="D455" s="50"/>
      <c r="E455" s="50"/>
      <c r="F455" s="65"/>
      <c r="G455" s="50"/>
      <c r="H455" s="54"/>
      <c r="I455" s="55"/>
    </row>
    <row r="456" spans="1:9" s="4" customFormat="1">
      <c r="A456" s="64"/>
      <c r="B456" s="77"/>
      <c r="C456" s="50"/>
      <c r="D456" s="50"/>
      <c r="E456" s="50"/>
      <c r="F456" s="65"/>
      <c r="G456" s="50"/>
      <c r="H456" s="54"/>
      <c r="I456" s="55"/>
    </row>
    <row r="457" spans="1:9" s="4" customFormat="1">
      <c r="A457" s="64"/>
      <c r="B457" s="77"/>
      <c r="C457" s="50"/>
      <c r="D457" s="50"/>
      <c r="E457" s="50"/>
      <c r="F457" s="65"/>
      <c r="G457" s="50"/>
      <c r="H457" s="54"/>
      <c r="I457" s="55"/>
    </row>
    <row r="458" spans="1:9" s="4" customFormat="1">
      <c r="A458" s="64"/>
      <c r="B458" s="77"/>
      <c r="C458" s="50"/>
      <c r="D458" s="50"/>
      <c r="E458" s="50"/>
      <c r="F458" s="65"/>
      <c r="G458" s="50"/>
      <c r="H458" s="54"/>
      <c r="I458" s="55"/>
    </row>
    <row r="459" spans="1:9" s="4" customFormat="1">
      <c r="A459" s="64"/>
      <c r="B459" s="77"/>
      <c r="C459" s="50"/>
      <c r="D459" s="50"/>
      <c r="E459" s="50"/>
      <c r="F459" s="65"/>
      <c r="G459" s="50"/>
      <c r="H459" s="54"/>
      <c r="I459" s="55"/>
    </row>
    <row r="460" spans="1:9" s="4" customFormat="1">
      <c r="A460" s="64"/>
      <c r="B460" s="77"/>
      <c r="C460" s="50"/>
      <c r="D460" s="50"/>
      <c r="E460" s="50"/>
      <c r="F460" s="65"/>
      <c r="G460" s="50"/>
      <c r="H460" s="54"/>
      <c r="I460" s="55"/>
    </row>
    <row r="461" spans="1:9" s="4" customFormat="1">
      <c r="A461" s="64"/>
      <c r="B461" s="77"/>
      <c r="C461" s="50"/>
      <c r="D461" s="50"/>
      <c r="E461" s="50"/>
      <c r="F461" s="65"/>
      <c r="G461" s="50"/>
      <c r="H461" s="54"/>
      <c r="I461" s="55"/>
    </row>
    <row r="462" spans="1:9" s="4" customFormat="1">
      <c r="A462" s="64"/>
      <c r="B462" s="77"/>
      <c r="C462" s="50"/>
      <c r="D462" s="50"/>
      <c r="E462" s="50"/>
      <c r="F462" s="65"/>
      <c r="G462" s="50"/>
      <c r="H462" s="54"/>
      <c r="I462" s="55"/>
    </row>
    <row r="463" spans="1:9" s="4" customFormat="1">
      <c r="A463" s="64"/>
      <c r="B463" s="77"/>
      <c r="C463" s="50"/>
      <c r="D463" s="50"/>
      <c r="E463" s="50"/>
      <c r="F463" s="65"/>
      <c r="G463" s="50"/>
      <c r="H463" s="54"/>
      <c r="I463" s="55"/>
    </row>
    <row r="464" spans="1:9" s="4" customFormat="1">
      <c r="A464" s="64"/>
      <c r="B464" s="77"/>
      <c r="C464" s="50"/>
      <c r="D464" s="50"/>
      <c r="E464" s="50"/>
      <c r="F464" s="65"/>
      <c r="G464" s="50"/>
      <c r="H464" s="54"/>
      <c r="I464" s="55"/>
    </row>
    <row r="465" spans="1:9" s="4" customFormat="1">
      <c r="A465" s="64"/>
      <c r="B465" s="77"/>
      <c r="C465" s="50"/>
      <c r="D465" s="50"/>
      <c r="E465" s="50"/>
      <c r="F465" s="65"/>
      <c r="G465" s="50"/>
      <c r="H465" s="54"/>
      <c r="I465" s="55"/>
    </row>
    <row r="466" spans="1:9" s="4" customFormat="1">
      <c r="A466" s="64"/>
      <c r="B466" s="77"/>
      <c r="C466" s="50"/>
      <c r="D466" s="50"/>
      <c r="E466" s="50"/>
      <c r="F466" s="65"/>
      <c r="G466" s="50"/>
      <c r="H466" s="54"/>
      <c r="I466" s="55"/>
    </row>
    <row r="467" spans="1:9" s="4" customFormat="1">
      <c r="A467" s="64"/>
      <c r="B467" s="77"/>
      <c r="C467" s="50"/>
      <c r="D467" s="50"/>
      <c r="E467" s="50"/>
      <c r="F467" s="65"/>
      <c r="G467" s="50"/>
      <c r="H467" s="54"/>
      <c r="I467" s="55"/>
    </row>
    <row r="468" spans="1:9" s="4" customFormat="1">
      <c r="A468" s="82"/>
      <c r="B468" s="56"/>
      <c r="C468" s="56"/>
      <c r="D468" s="56"/>
      <c r="E468" s="56"/>
      <c r="F468" s="56"/>
      <c r="G468" s="56"/>
      <c r="H468" s="56"/>
      <c r="I468" s="56"/>
    </row>
    <row r="469" spans="1:9" s="4" customFormat="1">
      <c r="A469" s="36"/>
      <c r="B469" s="50"/>
      <c r="C469" s="50"/>
      <c r="D469" s="50"/>
      <c r="E469" s="50"/>
      <c r="F469" s="36"/>
      <c r="G469" s="36"/>
      <c r="H469" s="36"/>
      <c r="I469" s="36"/>
    </row>
    <row r="470" spans="1:9" s="4" customFormat="1">
      <c r="A470" s="36"/>
      <c r="B470" s="36"/>
      <c r="C470" s="78"/>
      <c r="D470" s="78"/>
      <c r="E470" s="79"/>
      <c r="F470" s="80"/>
      <c r="G470" s="78"/>
      <c r="H470" s="36"/>
      <c r="I470" s="81"/>
    </row>
    <row r="471" spans="1:9" s="4" customFormat="1" ht="12"/>
    <row r="472" spans="1:9" s="4" customFormat="1" ht="20.25">
      <c r="A472" s="66"/>
      <c r="B472" s="67"/>
      <c r="G472" s="57"/>
      <c r="H472" s="57"/>
      <c r="I472" s="57"/>
    </row>
    <row r="473" spans="1:9" s="4" customFormat="1" ht="20.25">
      <c r="A473" s="57"/>
      <c r="B473" s="57"/>
      <c r="C473" s="57"/>
      <c r="D473" s="57"/>
      <c r="E473" s="57"/>
      <c r="F473" s="57"/>
      <c r="G473" s="57"/>
      <c r="H473" s="57"/>
      <c r="I473" s="57"/>
    </row>
    <row r="474" spans="1:9" s="4" customFormat="1" ht="29.25" customHeight="1">
      <c r="A474" s="618"/>
      <c r="B474" s="668"/>
      <c r="C474" s="668"/>
      <c r="D474" s="522"/>
      <c r="E474" s="57"/>
      <c r="F474" s="57"/>
      <c r="G474" s="57"/>
      <c r="H474" s="57"/>
      <c r="I474" s="57"/>
    </row>
    <row r="475" spans="1:9" s="4" customFormat="1">
      <c r="A475" s="68"/>
      <c r="B475" s="68"/>
      <c r="C475" s="68"/>
      <c r="D475" s="68"/>
      <c r="E475" s="68"/>
      <c r="F475" s="68"/>
      <c r="G475" s="69"/>
      <c r="H475" s="69"/>
      <c r="I475" s="615"/>
    </row>
    <row r="476" spans="1:9" s="4" customFormat="1">
      <c r="A476" s="68"/>
      <c r="B476" s="68"/>
      <c r="C476" s="68"/>
      <c r="D476" s="68"/>
      <c r="E476" s="68"/>
      <c r="F476" s="68"/>
      <c r="G476" s="69"/>
      <c r="H476" s="69"/>
      <c r="I476" s="615"/>
    </row>
    <row r="477" spans="1:9" s="4" customFormat="1">
      <c r="A477" s="36"/>
      <c r="B477" s="36"/>
      <c r="C477" s="36"/>
      <c r="D477" s="36"/>
      <c r="E477" s="36"/>
      <c r="F477" s="36"/>
      <c r="G477" s="36"/>
      <c r="H477" s="50"/>
      <c r="I477" s="36"/>
    </row>
    <row r="478" spans="1:9" s="4" customFormat="1">
      <c r="A478" s="36"/>
      <c r="B478" s="36"/>
      <c r="C478" s="36"/>
      <c r="D478" s="36"/>
      <c r="E478" s="36"/>
      <c r="F478" s="36"/>
      <c r="G478" s="59"/>
      <c r="H478" s="70"/>
      <c r="I478" s="50"/>
    </row>
    <row r="479" spans="1:9" s="4" customFormat="1">
      <c r="A479" s="36"/>
      <c r="B479" s="36"/>
      <c r="C479" s="36"/>
      <c r="D479" s="36"/>
      <c r="E479" s="36"/>
      <c r="F479" s="36"/>
      <c r="G479" s="59"/>
      <c r="H479" s="70"/>
      <c r="I479" s="50"/>
    </row>
    <row r="480" spans="1:9" s="4" customFormat="1">
      <c r="A480" s="36"/>
      <c r="B480" s="36"/>
      <c r="C480" s="36"/>
      <c r="D480" s="36"/>
      <c r="E480" s="36"/>
      <c r="F480" s="36"/>
      <c r="G480" s="60"/>
      <c r="H480" s="70"/>
      <c r="I480" s="50"/>
    </row>
    <row r="481" spans="1:9" s="4" customFormat="1">
      <c r="A481" s="36"/>
      <c r="B481" s="36"/>
      <c r="C481" s="36"/>
      <c r="D481" s="36"/>
      <c r="E481" s="36"/>
      <c r="F481" s="36"/>
      <c r="G481" s="60"/>
      <c r="H481" s="70"/>
      <c r="I481" s="50"/>
    </row>
    <row r="482" spans="1:9" s="4" customFormat="1">
      <c r="A482" s="36"/>
      <c r="B482" s="36"/>
      <c r="C482" s="36"/>
      <c r="D482" s="36"/>
      <c r="E482" s="36"/>
      <c r="F482" s="36"/>
      <c r="G482" s="60"/>
      <c r="H482" s="70"/>
      <c r="I482" s="50"/>
    </row>
    <row r="483" spans="1:9" s="4" customFormat="1">
      <c r="A483" s="36"/>
      <c r="B483" s="36"/>
      <c r="C483" s="36"/>
      <c r="D483" s="36"/>
      <c r="E483" s="36"/>
      <c r="F483" s="36"/>
      <c r="G483" s="60"/>
      <c r="H483" s="70"/>
      <c r="I483" s="50"/>
    </row>
    <row r="484" spans="1:9" s="4" customFormat="1">
      <c r="A484" s="36"/>
      <c r="B484" s="36"/>
      <c r="C484" s="36"/>
      <c r="D484" s="36"/>
      <c r="E484" s="36"/>
      <c r="F484" s="36"/>
      <c r="G484" s="36"/>
      <c r="H484" s="36"/>
      <c r="I484" s="36"/>
    </row>
    <row r="485" spans="1:9" s="4" customFormat="1">
      <c r="A485" s="68"/>
      <c r="B485" s="68"/>
      <c r="C485" s="68"/>
      <c r="D485" s="68"/>
      <c r="E485" s="68"/>
      <c r="F485" s="68"/>
      <c r="G485" s="622"/>
      <c r="H485" s="71"/>
      <c r="I485" s="71"/>
    </row>
    <row r="486" spans="1:9" s="4" customFormat="1">
      <c r="A486" s="68"/>
      <c r="B486" s="68"/>
      <c r="C486" s="68"/>
      <c r="D486" s="68"/>
      <c r="E486" s="68"/>
      <c r="F486" s="68"/>
      <c r="G486" s="622"/>
      <c r="H486" s="71"/>
      <c r="I486" s="71"/>
    </row>
    <row r="487" spans="1:9" s="4" customFormat="1">
      <c r="A487" s="61"/>
      <c r="B487" s="36"/>
      <c r="C487" s="62"/>
      <c r="D487" s="62"/>
      <c r="E487" s="62"/>
      <c r="F487" s="36"/>
      <c r="G487" s="62"/>
      <c r="H487" s="72"/>
      <c r="I487" s="50"/>
    </row>
    <row r="488" spans="1:9" s="4" customFormat="1">
      <c r="A488" s="36"/>
      <c r="B488" s="36"/>
      <c r="C488" s="36"/>
      <c r="D488" s="36"/>
      <c r="E488" s="36"/>
      <c r="F488" s="36"/>
      <c r="G488" s="50"/>
      <c r="H488" s="50"/>
      <c r="I488" s="70"/>
    </row>
    <row r="489" spans="1:9" s="4" customFormat="1">
      <c r="A489" s="36"/>
      <c r="B489" s="36"/>
      <c r="C489" s="36"/>
      <c r="D489" s="36"/>
      <c r="E489" s="36"/>
      <c r="F489" s="36"/>
      <c r="G489" s="70"/>
      <c r="H489" s="50"/>
      <c r="I489" s="50"/>
    </row>
    <row r="490" spans="1:9" s="4" customFormat="1">
      <c r="A490" s="36"/>
      <c r="B490" s="36"/>
      <c r="C490" s="36"/>
      <c r="D490" s="36"/>
      <c r="E490" s="36"/>
      <c r="F490" s="36"/>
      <c r="G490" s="47"/>
      <c r="H490" s="50"/>
      <c r="I490" s="50"/>
    </row>
    <row r="491" spans="1:9" s="4" customFormat="1">
      <c r="A491" s="36"/>
      <c r="B491" s="36"/>
      <c r="C491" s="36"/>
      <c r="D491" s="36"/>
      <c r="E491" s="36"/>
      <c r="F491" s="36"/>
      <c r="G491" s="73"/>
      <c r="H491" s="50"/>
      <c r="I491" s="50"/>
    </row>
    <row r="492" spans="1:9" s="4" customFormat="1">
      <c r="A492" s="36"/>
      <c r="B492" s="36"/>
      <c r="C492" s="36"/>
      <c r="D492" s="36"/>
      <c r="E492" s="36"/>
      <c r="F492" s="50"/>
      <c r="G492" s="36"/>
      <c r="H492" s="36"/>
      <c r="I492" s="36"/>
    </row>
    <row r="493" spans="1:9" s="4" customFormat="1">
      <c r="A493" s="63"/>
      <c r="B493" s="36"/>
      <c r="C493" s="36"/>
      <c r="D493" s="36"/>
      <c r="E493" s="36"/>
      <c r="F493" s="50"/>
      <c r="G493" s="36"/>
      <c r="H493" s="36"/>
      <c r="I493" s="36"/>
    </row>
    <row r="494" spans="1:9" s="4" customFormat="1">
      <c r="A494" s="36"/>
      <c r="B494" s="74"/>
      <c r="C494" s="36"/>
      <c r="D494" s="36"/>
      <c r="E494" s="36"/>
      <c r="F494" s="36"/>
      <c r="G494" s="36"/>
      <c r="H494" s="36"/>
      <c r="I494" s="36"/>
    </row>
    <row r="495" spans="1:9" s="4" customFormat="1">
      <c r="A495" s="619"/>
      <c r="B495" s="521"/>
      <c r="C495" s="521"/>
      <c r="D495" s="521"/>
      <c r="E495" s="619"/>
      <c r="F495" s="619"/>
      <c r="G495" s="619"/>
      <c r="H495" s="619"/>
      <c r="I495" s="619"/>
    </row>
    <row r="496" spans="1:9" s="4" customFormat="1">
      <c r="A496" s="619"/>
      <c r="B496" s="521"/>
      <c r="C496" s="521"/>
      <c r="D496" s="521"/>
      <c r="E496" s="521"/>
      <c r="F496" s="521"/>
      <c r="G496" s="620"/>
      <c r="H496" s="620"/>
      <c r="I496" s="620"/>
    </row>
    <row r="497" spans="1:9" s="4" customFormat="1">
      <c r="A497" s="64"/>
      <c r="B497" s="76"/>
      <c r="C497" s="50"/>
      <c r="D497" s="50"/>
      <c r="E497" s="50"/>
      <c r="F497" s="65"/>
      <c r="G497" s="50"/>
      <c r="H497" s="50"/>
      <c r="I497" s="55"/>
    </row>
    <row r="498" spans="1:9" s="4" customFormat="1">
      <c r="A498" s="64"/>
      <c r="B498" s="76"/>
      <c r="C498" s="50"/>
      <c r="D498" s="50"/>
      <c r="E498" s="50"/>
      <c r="F498" s="65"/>
      <c r="G498" s="50"/>
      <c r="H498" s="54"/>
      <c r="I498" s="55"/>
    </row>
    <row r="499" spans="1:9" s="4" customFormat="1">
      <c r="A499" s="64"/>
      <c r="B499" s="76"/>
      <c r="C499" s="50"/>
      <c r="D499" s="50"/>
      <c r="E499" s="50"/>
      <c r="F499" s="65"/>
      <c r="G499" s="50"/>
      <c r="H499" s="54"/>
      <c r="I499" s="36"/>
    </row>
    <row r="500" spans="1:9" s="4" customFormat="1">
      <c r="A500" s="64"/>
      <c r="B500" s="76"/>
      <c r="C500" s="50"/>
      <c r="D500" s="50"/>
      <c r="E500" s="50"/>
      <c r="F500" s="65"/>
      <c r="G500" s="50"/>
      <c r="H500" s="54"/>
      <c r="I500" s="55"/>
    </row>
    <row r="501" spans="1:9" s="4" customFormat="1">
      <c r="A501" s="64"/>
      <c r="B501" s="77"/>
      <c r="C501" s="50"/>
      <c r="D501" s="50"/>
      <c r="E501" s="50"/>
      <c r="F501" s="65"/>
      <c r="G501" s="50"/>
      <c r="H501" s="54"/>
      <c r="I501" s="55"/>
    </row>
    <row r="502" spans="1:9" s="4" customFormat="1">
      <c r="A502" s="64"/>
      <c r="B502" s="77"/>
      <c r="C502" s="50"/>
      <c r="D502" s="50"/>
      <c r="E502" s="50"/>
      <c r="F502" s="65"/>
      <c r="G502" s="50"/>
      <c r="H502" s="54"/>
      <c r="I502" s="55"/>
    </row>
    <row r="503" spans="1:9" s="4" customFormat="1">
      <c r="A503" s="64"/>
      <c r="B503" s="77"/>
      <c r="C503" s="50"/>
      <c r="D503" s="50"/>
      <c r="E503" s="50"/>
      <c r="F503" s="65"/>
      <c r="G503" s="50"/>
      <c r="H503" s="54"/>
      <c r="I503" s="55"/>
    </row>
    <row r="504" spans="1:9" s="4" customFormat="1">
      <c r="A504" s="64"/>
      <c r="B504" s="77"/>
      <c r="C504" s="50"/>
      <c r="D504" s="50"/>
      <c r="E504" s="50"/>
      <c r="F504" s="65"/>
      <c r="G504" s="50"/>
      <c r="H504" s="54"/>
      <c r="I504" s="55"/>
    </row>
    <row r="505" spans="1:9" s="4" customFormat="1">
      <c r="A505" s="64"/>
      <c r="B505" s="77"/>
      <c r="C505" s="50"/>
      <c r="D505" s="50"/>
      <c r="E505" s="50"/>
      <c r="F505" s="65"/>
      <c r="G505" s="50"/>
      <c r="H505" s="54"/>
      <c r="I505" s="55"/>
    </row>
    <row r="506" spans="1:9" s="4" customFormat="1">
      <c r="A506" s="64"/>
      <c r="B506" s="77"/>
      <c r="C506" s="50"/>
      <c r="D506" s="50"/>
      <c r="E506" s="50"/>
      <c r="F506" s="65"/>
      <c r="G506" s="50"/>
      <c r="H506" s="54"/>
      <c r="I506" s="55"/>
    </row>
    <row r="507" spans="1:9" s="4" customFormat="1">
      <c r="A507" s="64"/>
      <c r="B507" s="77"/>
      <c r="C507" s="50"/>
      <c r="D507" s="50"/>
      <c r="E507" s="50"/>
      <c r="F507" s="65"/>
      <c r="G507" s="50"/>
      <c r="H507" s="54"/>
      <c r="I507" s="55"/>
    </row>
    <row r="508" spans="1:9" s="4" customFormat="1">
      <c r="A508" s="64"/>
      <c r="B508" s="77"/>
      <c r="C508" s="50"/>
      <c r="D508" s="50"/>
      <c r="E508" s="50"/>
      <c r="F508" s="65"/>
      <c r="G508" s="50"/>
      <c r="H508" s="54"/>
      <c r="I508" s="55"/>
    </row>
    <row r="509" spans="1:9" s="4" customFormat="1">
      <c r="A509" s="64"/>
      <c r="B509" s="77"/>
      <c r="C509" s="50"/>
      <c r="D509" s="50"/>
      <c r="E509" s="50"/>
      <c r="F509" s="65"/>
      <c r="G509" s="50"/>
      <c r="H509" s="54"/>
      <c r="I509" s="55"/>
    </row>
    <row r="510" spans="1:9" s="4" customFormat="1">
      <c r="A510" s="64"/>
      <c r="B510" s="77"/>
      <c r="C510" s="50"/>
      <c r="D510" s="50"/>
      <c r="E510" s="50"/>
      <c r="F510" s="65"/>
      <c r="G510" s="50"/>
      <c r="H510" s="54"/>
      <c r="I510" s="55"/>
    </row>
    <row r="511" spans="1:9" s="4" customFormat="1">
      <c r="A511" s="64"/>
      <c r="B511" s="77"/>
      <c r="C511" s="50"/>
      <c r="D511" s="50"/>
      <c r="E511" s="50"/>
      <c r="F511" s="65"/>
      <c r="G511" s="50"/>
      <c r="H511" s="54"/>
      <c r="I511" s="55"/>
    </row>
    <row r="512" spans="1:9" s="4" customFormat="1">
      <c r="A512" s="64"/>
      <c r="B512" s="77"/>
      <c r="C512" s="50"/>
      <c r="D512" s="50"/>
      <c r="E512" s="50"/>
      <c r="F512" s="65"/>
      <c r="G512" s="50"/>
      <c r="H512" s="54"/>
      <c r="I512" s="55"/>
    </row>
    <row r="513" spans="1:9" s="4" customFormat="1">
      <c r="A513" s="64"/>
      <c r="B513" s="77"/>
      <c r="C513" s="50"/>
      <c r="D513" s="50"/>
      <c r="E513" s="50"/>
      <c r="F513" s="65"/>
      <c r="G513" s="50"/>
      <c r="H513" s="54"/>
      <c r="I513" s="55"/>
    </row>
    <row r="514" spans="1:9" s="4" customFormat="1">
      <c r="A514" s="64"/>
      <c r="B514" s="77"/>
      <c r="C514" s="50"/>
      <c r="D514" s="50"/>
      <c r="E514" s="50"/>
      <c r="F514" s="65"/>
      <c r="G514" s="50"/>
      <c r="H514" s="54"/>
      <c r="I514" s="55"/>
    </row>
    <row r="515" spans="1:9" s="4" customFormat="1">
      <c r="A515" s="64"/>
      <c r="B515" s="77"/>
      <c r="C515" s="50"/>
      <c r="D515" s="50"/>
      <c r="E515" s="50"/>
      <c r="F515" s="65"/>
      <c r="G515" s="50"/>
      <c r="H515" s="54"/>
      <c r="I515" s="55"/>
    </row>
    <row r="516" spans="1:9" s="4" customFormat="1">
      <c r="A516" s="64"/>
      <c r="B516" s="77"/>
      <c r="C516" s="50"/>
      <c r="D516" s="50"/>
      <c r="E516" s="50"/>
      <c r="F516" s="65"/>
      <c r="G516" s="50"/>
      <c r="H516" s="54"/>
      <c r="I516" s="55"/>
    </row>
    <row r="517" spans="1:9" s="4" customFormat="1">
      <c r="A517" s="64"/>
      <c r="B517" s="77"/>
      <c r="C517" s="50"/>
      <c r="D517" s="50"/>
      <c r="E517" s="50"/>
      <c r="F517" s="65"/>
      <c r="G517" s="50"/>
      <c r="H517" s="54"/>
      <c r="I517" s="55"/>
    </row>
    <row r="518" spans="1:9" s="4" customFormat="1">
      <c r="A518" s="64"/>
      <c r="B518" s="77"/>
      <c r="C518" s="50"/>
      <c r="D518" s="50"/>
      <c r="E518" s="50"/>
      <c r="F518" s="65"/>
      <c r="G518" s="50"/>
      <c r="H518" s="54"/>
      <c r="I518" s="55"/>
    </row>
    <row r="519" spans="1:9" s="4" customFormat="1">
      <c r="A519" s="64"/>
      <c r="B519" s="77"/>
      <c r="C519" s="50"/>
      <c r="D519" s="50"/>
      <c r="E519" s="50"/>
      <c r="F519" s="65"/>
      <c r="G519" s="50"/>
      <c r="H519" s="54"/>
      <c r="I519" s="55"/>
    </row>
    <row r="520" spans="1:9" s="4" customFormat="1">
      <c r="A520" s="64"/>
      <c r="B520" s="77"/>
      <c r="C520" s="50"/>
      <c r="D520" s="50"/>
      <c r="E520" s="50"/>
      <c r="F520" s="65"/>
      <c r="G520" s="50"/>
      <c r="H520" s="54"/>
      <c r="I520" s="55"/>
    </row>
    <row r="521" spans="1:9" s="4" customFormat="1">
      <c r="A521" s="64"/>
      <c r="B521" s="77"/>
      <c r="C521" s="50"/>
      <c r="D521" s="50"/>
      <c r="E521" s="50"/>
      <c r="F521" s="65"/>
      <c r="G521" s="50"/>
      <c r="H521" s="54"/>
      <c r="I521" s="55"/>
    </row>
    <row r="522" spans="1:9" s="4" customFormat="1">
      <c r="A522" s="82"/>
      <c r="B522" s="56"/>
      <c r="C522" s="56"/>
      <c r="D522" s="56"/>
      <c r="E522" s="56"/>
      <c r="F522" s="56"/>
      <c r="G522" s="56"/>
      <c r="H522" s="56"/>
      <c r="I522" s="56"/>
    </row>
    <row r="523" spans="1:9" s="4" customFormat="1">
      <c r="A523" s="36"/>
      <c r="B523" s="50"/>
      <c r="C523" s="50"/>
      <c r="D523" s="50"/>
      <c r="E523" s="50"/>
      <c r="F523" s="36"/>
      <c r="G523" s="36"/>
      <c r="H523" s="36"/>
      <c r="I523" s="36"/>
    </row>
    <row r="524" spans="1:9" s="4" customFormat="1">
      <c r="A524" s="36"/>
      <c r="B524" s="36"/>
      <c r="C524" s="78"/>
      <c r="D524" s="78"/>
      <c r="E524" s="79"/>
      <c r="F524" s="80"/>
      <c r="G524" s="78"/>
      <c r="H524" s="36"/>
      <c r="I524" s="81"/>
    </row>
    <row r="525" spans="1:9" s="4" customFormat="1" ht="12"/>
    <row r="526" spans="1:9" s="4" customFormat="1" ht="20.25">
      <c r="A526" s="66"/>
      <c r="B526" s="67"/>
      <c r="G526" s="57"/>
      <c r="H526" s="57"/>
      <c r="I526" s="57"/>
    </row>
    <row r="527" spans="1:9" s="4" customFormat="1" ht="20.25">
      <c r="A527" s="57"/>
      <c r="B527" s="57"/>
      <c r="C527" s="57"/>
      <c r="D527" s="57"/>
      <c r="E527" s="57"/>
      <c r="F527" s="57"/>
      <c r="G527" s="57"/>
      <c r="H527" s="57"/>
      <c r="I527" s="57"/>
    </row>
    <row r="528" spans="1:9" s="4" customFormat="1" ht="31.5" customHeight="1">
      <c r="A528" s="618"/>
      <c r="B528" s="668"/>
      <c r="C528" s="668"/>
      <c r="D528" s="522"/>
      <c r="E528" s="57"/>
      <c r="F528" s="57"/>
      <c r="G528" s="57"/>
      <c r="H528" s="57"/>
      <c r="I528" s="57"/>
    </row>
    <row r="529" spans="1:9" s="4" customFormat="1">
      <c r="A529" s="68"/>
      <c r="B529" s="68"/>
      <c r="C529" s="68"/>
      <c r="D529" s="68"/>
      <c r="E529" s="68"/>
      <c r="F529" s="68"/>
      <c r="G529" s="69"/>
      <c r="H529" s="69"/>
      <c r="I529" s="615"/>
    </row>
    <row r="530" spans="1:9" s="4" customFormat="1">
      <c r="A530" s="68"/>
      <c r="B530" s="68"/>
      <c r="C530" s="68"/>
      <c r="D530" s="68"/>
      <c r="E530" s="68"/>
      <c r="F530" s="68"/>
      <c r="G530" s="69"/>
      <c r="H530" s="69"/>
      <c r="I530" s="615"/>
    </row>
    <row r="531" spans="1:9" s="4" customFormat="1">
      <c r="A531" s="36"/>
      <c r="B531" s="36"/>
      <c r="C531" s="36"/>
      <c r="D531" s="36"/>
      <c r="E531" s="36"/>
      <c r="F531" s="36"/>
      <c r="G531" s="36"/>
      <c r="H531" s="50"/>
      <c r="I531" s="36"/>
    </row>
    <row r="532" spans="1:9" s="4" customFormat="1">
      <c r="A532" s="36"/>
      <c r="B532" s="36"/>
      <c r="C532" s="36"/>
      <c r="D532" s="36"/>
      <c r="E532" s="36"/>
      <c r="F532" s="36"/>
      <c r="G532" s="59"/>
      <c r="H532" s="70"/>
      <c r="I532" s="50"/>
    </row>
    <row r="533" spans="1:9" s="4" customFormat="1">
      <c r="A533" s="36"/>
      <c r="B533" s="36"/>
      <c r="C533" s="36"/>
      <c r="D533" s="36"/>
      <c r="E533" s="36"/>
      <c r="F533" s="36"/>
      <c r="G533" s="59"/>
      <c r="H533" s="70"/>
      <c r="I533" s="50"/>
    </row>
    <row r="534" spans="1:9" s="4" customFormat="1">
      <c r="A534" s="36"/>
      <c r="B534" s="36"/>
      <c r="C534" s="36"/>
      <c r="D534" s="36"/>
      <c r="E534" s="36"/>
      <c r="F534" s="36"/>
      <c r="G534" s="60"/>
      <c r="H534" s="70"/>
      <c r="I534" s="50"/>
    </row>
    <row r="535" spans="1:9" s="4" customFormat="1">
      <c r="A535" s="36"/>
      <c r="B535" s="36"/>
      <c r="C535" s="36"/>
      <c r="D535" s="36"/>
      <c r="E535" s="36"/>
      <c r="F535" s="36"/>
      <c r="G535" s="60"/>
      <c r="H535" s="70"/>
      <c r="I535" s="50"/>
    </row>
    <row r="536" spans="1:9" s="4" customFormat="1">
      <c r="A536" s="36"/>
      <c r="B536" s="36"/>
      <c r="C536" s="36"/>
      <c r="D536" s="36"/>
      <c r="E536" s="36"/>
      <c r="F536" s="36"/>
      <c r="G536" s="60"/>
      <c r="H536" s="70"/>
      <c r="I536" s="50"/>
    </row>
    <row r="537" spans="1:9" s="4" customFormat="1">
      <c r="A537" s="36"/>
      <c r="B537" s="36"/>
      <c r="C537" s="36"/>
      <c r="D537" s="36"/>
      <c r="E537" s="36"/>
      <c r="F537" s="36"/>
      <c r="G537" s="60"/>
      <c r="H537" s="70"/>
      <c r="I537" s="50"/>
    </row>
    <row r="538" spans="1:9" s="4" customFormat="1">
      <c r="A538" s="36"/>
      <c r="B538" s="36"/>
      <c r="C538" s="36"/>
      <c r="D538" s="36"/>
      <c r="E538" s="36"/>
      <c r="F538" s="36"/>
      <c r="G538" s="36"/>
      <c r="H538" s="36"/>
      <c r="I538" s="36"/>
    </row>
    <row r="539" spans="1:9" s="4" customFormat="1">
      <c r="A539" s="68"/>
      <c r="B539" s="68"/>
      <c r="C539" s="68"/>
      <c r="D539" s="68"/>
      <c r="E539" s="68"/>
      <c r="F539" s="68"/>
      <c r="G539" s="622"/>
      <c r="H539" s="71"/>
      <c r="I539" s="71"/>
    </row>
    <row r="540" spans="1:9" s="4" customFormat="1">
      <c r="A540" s="68"/>
      <c r="B540" s="68"/>
      <c r="C540" s="68"/>
      <c r="D540" s="68"/>
      <c r="E540" s="68"/>
      <c r="F540" s="68"/>
      <c r="G540" s="622"/>
      <c r="H540" s="71"/>
      <c r="I540" s="71"/>
    </row>
    <row r="541" spans="1:9" s="4" customFormat="1">
      <c r="A541" s="61"/>
      <c r="B541" s="36"/>
      <c r="C541" s="62"/>
      <c r="D541" s="62"/>
      <c r="E541" s="62"/>
      <c r="F541" s="36"/>
      <c r="G541" s="62"/>
      <c r="H541" s="72"/>
      <c r="I541" s="50"/>
    </row>
    <row r="542" spans="1:9" s="4" customFormat="1">
      <c r="A542" s="36"/>
      <c r="B542" s="36"/>
      <c r="C542" s="36"/>
      <c r="D542" s="36"/>
      <c r="E542" s="36"/>
      <c r="F542" s="36"/>
      <c r="G542" s="50"/>
      <c r="H542" s="50"/>
      <c r="I542" s="70"/>
    </row>
    <row r="543" spans="1:9" s="4" customFormat="1">
      <c r="A543" s="36"/>
      <c r="B543" s="36"/>
      <c r="C543" s="36"/>
      <c r="D543" s="36"/>
      <c r="E543" s="36"/>
      <c r="F543" s="36"/>
      <c r="G543" s="70"/>
      <c r="H543" s="50"/>
      <c r="I543" s="50"/>
    </row>
    <row r="544" spans="1:9" s="4" customFormat="1">
      <c r="A544" s="36"/>
      <c r="B544" s="36"/>
      <c r="C544" s="36"/>
      <c r="D544" s="36"/>
      <c r="E544" s="36"/>
      <c r="F544" s="36"/>
      <c r="G544" s="47"/>
      <c r="H544" s="50"/>
      <c r="I544" s="50"/>
    </row>
    <row r="545" spans="1:9" s="4" customFormat="1">
      <c r="A545" s="36"/>
      <c r="B545" s="36"/>
      <c r="C545" s="36"/>
      <c r="D545" s="36"/>
      <c r="E545" s="36"/>
      <c r="F545" s="36"/>
      <c r="G545" s="73"/>
      <c r="H545" s="50"/>
      <c r="I545" s="50"/>
    </row>
    <row r="546" spans="1:9" s="4" customFormat="1">
      <c r="A546" s="36"/>
      <c r="B546" s="36"/>
      <c r="C546" s="36"/>
      <c r="D546" s="36"/>
      <c r="E546" s="36"/>
      <c r="F546" s="50"/>
      <c r="G546" s="36"/>
      <c r="H546" s="36"/>
      <c r="I546" s="36"/>
    </row>
    <row r="547" spans="1:9" s="4" customFormat="1">
      <c r="A547" s="63"/>
      <c r="B547" s="36"/>
      <c r="C547" s="36"/>
      <c r="D547" s="36"/>
      <c r="E547" s="36"/>
      <c r="F547" s="50"/>
      <c r="G547" s="36"/>
      <c r="H547" s="36"/>
      <c r="I547" s="36"/>
    </row>
    <row r="548" spans="1:9" s="4" customFormat="1">
      <c r="A548" s="36"/>
      <c r="B548" s="74"/>
      <c r="C548" s="36"/>
      <c r="D548" s="36"/>
      <c r="E548" s="36"/>
      <c r="F548" s="36"/>
      <c r="G548" s="36"/>
      <c r="H548" s="36"/>
      <c r="I548" s="36"/>
    </row>
    <row r="549" spans="1:9" s="4" customFormat="1">
      <c r="A549" s="619"/>
      <c r="B549" s="521"/>
      <c r="C549" s="521"/>
      <c r="D549" s="521"/>
      <c r="E549" s="619"/>
      <c r="F549" s="619"/>
      <c r="G549" s="619"/>
      <c r="H549" s="619"/>
      <c r="I549" s="619"/>
    </row>
    <row r="550" spans="1:9" s="4" customFormat="1">
      <c r="A550" s="619"/>
      <c r="B550" s="521"/>
      <c r="C550" s="521"/>
      <c r="D550" s="521"/>
      <c r="E550" s="521"/>
      <c r="F550" s="521"/>
      <c r="G550" s="620"/>
      <c r="H550" s="620"/>
      <c r="I550" s="620"/>
    </row>
    <row r="551" spans="1:9" s="4" customFormat="1">
      <c r="A551" s="64"/>
      <c r="B551" s="76"/>
      <c r="C551" s="50"/>
      <c r="D551" s="50"/>
      <c r="E551" s="50"/>
      <c r="F551" s="65"/>
      <c r="G551" s="50"/>
      <c r="H551" s="50"/>
      <c r="I551" s="55"/>
    </row>
    <row r="552" spans="1:9" s="4" customFormat="1">
      <c r="A552" s="64"/>
      <c r="B552" s="76"/>
      <c r="C552" s="50"/>
      <c r="D552" s="50"/>
      <c r="E552" s="50"/>
      <c r="F552" s="65"/>
      <c r="G552" s="50"/>
      <c r="H552" s="54"/>
      <c r="I552" s="55"/>
    </row>
    <row r="553" spans="1:9" s="4" customFormat="1">
      <c r="A553" s="64"/>
      <c r="B553" s="76"/>
      <c r="C553" s="50"/>
      <c r="D553" s="50"/>
      <c r="E553" s="50"/>
      <c r="F553" s="65"/>
      <c r="G553" s="50"/>
      <c r="H553" s="54"/>
      <c r="I553" s="36"/>
    </row>
    <row r="554" spans="1:9" s="4" customFormat="1">
      <c r="A554" s="64"/>
      <c r="B554" s="76"/>
      <c r="C554" s="50"/>
      <c r="D554" s="50"/>
      <c r="E554" s="50"/>
      <c r="F554" s="65"/>
      <c r="G554" s="50"/>
      <c r="H554" s="54"/>
      <c r="I554" s="55"/>
    </row>
    <row r="555" spans="1:9" s="4" customFormat="1">
      <c r="A555" s="64"/>
      <c r="B555" s="77"/>
      <c r="C555" s="50"/>
      <c r="D555" s="50"/>
      <c r="E555" s="50"/>
      <c r="F555" s="65"/>
      <c r="G555" s="50"/>
      <c r="H555" s="54"/>
      <c r="I555" s="55"/>
    </row>
    <row r="556" spans="1:9" s="4" customFormat="1">
      <c r="A556" s="64"/>
      <c r="B556" s="77"/>
      <c r="C556" s="50"/>
      <c r="D556" s="50"/>
      <c r="E556" s="50"/>
      <c r="F556" s="65"/>
      <c r="G556" s="50"/>
      <c r="H556" s="54"/>
      <c r="I556" s="55"/>
    </row>
    <row r="557" spans="1:9" s="4" customFormat="1">
      <c r="A557" s="64"/>
      <c r="B557" s="77"/>
      <c r="C557" s="50"/>
      <c r="D557" s="50"/>
      <c r="E557" s="50"/>
      <c r="F557" s="65"/>
      <c r="G557" s="50"/>
      <c r="H557" s="54"/>
      <c r="I557" s="55"/>
    </row>
    <row r="558" spans="1:9" s="4" customFormat="1">
      <c r="A558" s="64"/>
      <c r="B558" s="77"/>
      <c r="C558" s="50"/>
      <c r="D558" s="50"/>
      <c r="E558" s="50"/>
      <c r="F558" s="65"/>
      <c r="G558" s="50"/>
      <c r="H558" s="54"/>
      <c r="I558" s="55"/>
    </row>
    <row r="559" spans="1:9" s="4" customFormat="1">
      <c r="A559" s="64"/>
      <c r="B559" s="77"/>
      <c r="C559" s="50"/>
      <c r="D559" s="50"/>
      <c r="E559" s="50"/>
      <c r="F559" s="65"/>
      <c r="G559" s="50"/>
      <c r="H559" s="54"/>
      <c r="I559" s="55"/>
    </row>
    <row r="560" spans="1:9" s="4" customFormat="1">
      <c r="A560" s="64"/>
      <c r="B560" s="77"/>
      <c r="C560" s="50"/>
      <c r="D560" s="50"/>
      <c r="E560" s="50"/>
      <c r="F560" s="65"/>
      <c r="G560" s="50"/>
      <c r="H560" s="54"/>
      <c r="I560" s="55"/>
    </row>
    <row r="561" spans="1:9" s="4" customFormat="1">
      <c r="A561" s="64"/>
      <c r="B561" s="77"/>
      <c r="C561" s="50"/>
      <c r="D561" s="50"/>
      <c r="E561" s="50"/>
      <c r="F561" s="65"/>
      <c r="G561" s="50"/>
      <c r="H561" s="54"/>
      <c r="I561" s="55"/>
    </row>
    <row r="562" spans="1:9" s="4" customFormat="1">
      <c r="A562" s="64"/>
      <c r="B562" s="77"/>
      <c r="C562" s="50"/>
      <c r="D562" s="50"/>
      <c r="E562" s="50"/>
      <c r="F562" s="65"/>
      <c r="G562" s="50"/>
      <c r="H562" s="54"/>
      <c r="I562" s="55"/>
    </row>
    <row r="563" spans="1:9" s="4" customFormat="1">
      <c r="A563" s="64"/>
      <c r="B563" s="77"/>
      <c r="C563" s="50"/>
      <c r="D563" s="50"/>
      <c r="E563" s="50"/>
      <c r="F563" s="65"/>
      <c r="G563" s="50"/>
      <c r="H563" s="54"/>
      <c r="I563" s="55"/>
    </row>
    <row r="564" spans="1:9" s="4" customFormat="1">
      <c r="A564" s="64"/>
      <c r="B564" s="77"/>
      <c r="C564" s="50"/>
      <c r="D564" s="50"/>
      <c r="E564" s="50"/>
      <c r="F564" s="65"/>
      <c r="G564" s="50"/>
      <c r="H564" s="54"/>
      <c r="I564" s="55"/>
    </row>
    <row r="565" spans="1:9" s="4" customFormat="1">
      <c r="A565" s="64"/>
      <c r="B565" s="77"/>
      <c r="C565" s="50"/>
      <c r="D565" s="50"/>
      <c r="E565" s="50"/>
      <c r="F565" s="65"/>
      <c r="G565" s="50"/>
      <c r="H565" s="54"/>
      <c r="I565" s="55"/>
    </row>
    <row r="566" spans="1:9" s="4" customFormat="1">
      <c r="A566" s="64"/>
      <c r="B566" s="77"/>
      <c r="C566" s="50"/>
      <c r="D566" s="50"/>
      <c r="E566" s="50"/>
      <c r="F566" s="65"/>
      <c r="G566" s="50"/>
      <c r="H566" s="54"/>
      <c r="I566" s="55"/>
    </row>
    <row r="567" spans="1:9" s="4" customFormat="1">
      <c r="A567" s="64"/>
      <c r="B567" s="77"/>
      <c r="C567" s="50"/>
      <c r="D567" s="50"/>
      <c r="E567" s="50"/>
      <c r="F567" s="65"/>
      <c r="G567" s="50"/>
      <c r="H567" s="54"/>
      <c r="I567" s="55"/>
    </row>
    <row r="568" spans="1:9" s="4" customFormat="1">
      <c r="A568" s="64"/>
      <c r="B568" s="77"/>
      <c r="C568" s="50"/>
      <c r="D568" s="50"/>
      <c r="E568" s="50"/>
      <c r="F568" s="65"/>
      <c r="G568" s="50"/>
      <c r="H568" s="54"/>
      <c r="I568" s="55"/>
    </row>
    <row r="569" spans="1:9" s="4" customFormat="1">
      <c r="A569" s="64"/>
      <c r="B569" s="77"/>
      <c r="C569" s="50"/>
      <c r="D569" s="50"/>
      <c r="E569" s="50"/>
      <c r="F569" s="65"/>
      <c r="G569" s="50"/>
      <c r="H569" s="54"/>
      <c r="I569" s="55"/>
    </row>
    <row r="570" spans="1:9" s="4" customFormat="1">
      <c r="A570" s="64"/>
      <c r="B570" s="77"/>
      <c r="C570" s="50"/>
      <c r="D570" s="50"/>
      <c r="E570" s="50"/>
      <c r="F570" s="65"/>
      <c r="G570" s="50"/>
      <c r="H570" s="54"/>
      <c r="I570" s="55"/>
    </row>
    <row r="571" spans="1:9" s="4" customFormat="1">
      <c r="A571" s="64"/>
      <c r="B571" s="77"/>
      <c r="C571" s="50"/>
      <c r="D571" s="50"/>
      <c r="E571" s="50"/>
      <c r="F571" s="65"/>
      <c r="G571" s="50"/>
      <c r="H571" s="54"/>
      <c r="I571" s="55"/>
    </row>
    <row r="572" spans="1:9" s="4" customFormat="1">
      <c r="A572" s="64"/>
      <c r="B572" s="77"/>
      <c r="C572" s="50"/>
      <c r="D572" s="50"/>
      <c r="E572" s="50"/>
      <c r="F572" s="65"/>
      <c r="G572" s="50"/>
      <c r="H572" s="54"/>
      <c r="I572" s="55"/>
    </row>
    <row r="573" spans="1:9" s="4" customFormat="1">
      <c r="A573" s="64"/>
      <c r="B573" s="77"/>
      <c r="C573" s="50"/>
      <c r="D573" s="50"/>
      <c r="E573" s="50"/>
      <c r="F573" s="65"/>
      <c r="G573" s="50"/>
      <c r="H573" s="54"/>
      <c r="I573" s="55"/>
    </row>
    <row r="574" spans="1:9" s="4" customFormat="1">
      <c r="A574" s="64"/>
      <c r="B574" s="77"/>
      <c r="C574" s="50"/>
      <c r="D574" s="50"/>
      <c r="E574" s="50"/>
      <c r="F574" s="65"/>
      <c r="G574" s="50"/>
      <c r="H574" s="54"/>
      <c r="I574" s="55"/>
    </row>
    <row r="575" spans="1:9" s="4" customFormat="1">
      <c r="A575" s="64"/>
      <c r="B575" s="77"/>
      <c r="C575" s="50"/>
      <c r="D575" s="50"/>
      <c r="E575" s="50"/>
      <c r="F575" s="65"/>
      <c r="G575" s="50"/>
      <c r="H575" s="54"/>
      <c r="I575" s="55"/>
    </row>
    <row r="576" spans="1:9" s="4" customFormat="1">
      <c r="A576" s="82"/>
      <c r="B576" s="56"/>
      <c r="C576" s="56"/>
      <c r="D576" s="56"/>
      <c r="E576" s="56"/>
      <c r="F576" s="56"/>
      <c r="G576" s="56"/>
      <c r="H576" s="56"/>
      <c r="I576" s="56"/>
    </row>
    <row r="577" spans="1:9" s="4" customFormat="1">
      <c r="A577" s="36"/>
      <c r="B577" s="50"/>
      <c r="C577" s="50"/>
      <c r="D577" s="50"/>
      <c r="E577" s="50"/>
      <c r="F577" s="36"/>
      <c r="G577" s="36"/>
      <c r="H577" s="36"/>
      <c r="I577" s="36"/>
    </row>
    <row r="578" spans="1:9" s="4" customFormat="1">
      <c r="A578" s="36"/>
      <c r="B578" s="36"/>
      <c r="C578" s="78"/>
      <c r="D578" s="78"/>
      <c r="E578" s="79"/>
      <c r="F578" s="80"/>
      <c r="G578" s="78"/>
      <c r="H578" s="36"/>
      <c r="I578" s="81"/>
    </row>
    <row r="579" spans="1:9" s="4" customFormat="1" ht="12"/>
    <row r="580" spans="1:9" s="4" customFormat="1" ht="12"/>
    <row r="581" spans="1:9" s="4" customFormat="1" ht="20.25">
      <c r="A581" s="618"/>
      <c r="B581" s="668"/>
      <c r="C581" s="668"/>
      <c r="D581" s="522"/>
      <c r="E581" s="57"/>
      <c r="F581" s="57"/>
      <c r="G581" s="57"/>
      <c r="H581" s="57"/>
      <c r="I581" s="57"/>
    </row>
    <row r="582" spans="1:9" s="4" customFormat="1">
      <c r="A582" s="68"/>
      <c r="B582" s="68"/>
      <c r="C582" s="68"/>
      <c r="D582" s="68"/>
      <c r="E582" s="68"/>
      <c r="F582" s="68"/>
      <c r="G582" s="69"/>
      <c r="H582" s="69"/>
      <c r="I582" s="615"/>
    </row>
    <row r="583" spans="1:9" s="4" customFormat="1">
      <c r="A583" s="68"/>
      <c r="B583" s="68"/>
      <c r="C583" s="68"/>
      <c r="D583" s="68"/>
      <c r="E583" s="68"/>
      <c r="F583" s="68"/>
      <c r="G583" s="69"/>
      <c r="H583" s="69"/>
      <c r="I583" s="615"/>
    </row>
    <row r="584" spans="1:9" s="4" customFormat="1">
      <c r="A584" s="36"/>
      <c r="B584" s="36"/>
      <c r="C584" s="36"/>
      <c r="D584" s="36"/>
      <c r="E584" s="36"/>
      <c r="F584" s="36"/>
      <c r="G584" s="36"/>
      <c r="H584" s="50"/>
      <c r="I584" s="36"/>
    </row>
    <row r="585" spans="1:9" s="4" customFormat="1">
      <c r="A585" s="36"/>
      <c r="B585" s="36"/>
      <c r="C585" s="36"/>
      <c r="D585" s="36"/>
      <c r="E585" s="36"/>
      <c r="F585" s="36"/>
      <c r="G585" s="58"/>
      <c r="H585" s="70"/>
      <c r="I585" s="50"/>
    </row>
    <row r="586" spans="1:9" s="4" customFormat="1">
      <c r="A586" s="36"/>
      <c r="B586" s="36"/>
      <c r="C586" s="36"/>
      <c r="D586" s="36"/>
      <c r="E586" s="36"/>
      <c r="F586" s="36"/>
      <c r="G586" s="59"/>
      <c r="H586" s="70"/>
      <c r="I586" s="50"/>
    </row>
    <row r="587" spans="1:9" s="4" customFormat="1">
      <c r="A587" s="36"/>
      <c r="B587" s="36"/>
      <c r="C587" s="36"/>
      <c r="D587" s="36"/>
      <c r="E587" s="36"/>
      <c r="F587" s="36"/>
      <c r="G587" s="60"/>
      <c r="H587" s="70"/>
      <c r="I587" s="50"/>
    </row>
    <row r="588" spans="1:9" s="4" customFormat="1">
      <c r="A588" s="36"/>
      <c r="B588" s="36"/>
      <c r="C588" s="36"/>
      <c r="D588" s="36"/>
      <c r="E588" s="36"/>
      <c r="F588" s="36"/>
      <c r="G588" s="60"/>
      <c r="H588" s="70"/>
      <c r="I588" s="50"/>
    </row>
    <row r="589" spans="1:9" s="4" customFormat="1">
      <c r="A589" s="36"/>
      <c r="B589" s="36"/>
      <c r="C589" s="36"/>
      <c r="D589" s="36"/>
      <c r="E589" s="36"/>
      <c r="F589" s="36"/>
      <c r="G589" s="60"/>
      <c r="H589" s="70"/>
      <c r="I589" s="50"/>
    </row>
    <row r="590" spans="1:9" s="4" customFormat="1">
      <c r="A590" s="36"/>
      <c r="B590" s="36"/>
      <c r="C590" s="36"/>
      <c r="D590" s="36"/>
      <c r="E590" s="36"/>
      <c r="F590" s="36"/>
      <c r="G590" s="60"/>
      <c r="H590" s="70"/>
      <c r="I590" s="50"/>
    </row>
    <row r="591" spans="1:9" s="4" customFormat="1">
      <c r="A591" s="36"/>
      <c r="B591" s="36"/>
      <c r="C591" s="36"/>
      <c r="D591" s="36"/>
      <c r="E591" s="36"/>
      <c r="F591" s="36"/>
      <c r="G591" s="36"/>
      <c r="H591" s="36"/>
      <c r="I591" s="36"/>
    </row>
    <row r="592" spans="1:9" s="4" customFormat="1">
      <c r="A592" s="68"/>
      <c r="B592" s="68"/>
      <c r="C592" s="68"/>
      <c r="D592" s="68"/>
      <c r="E592" s="68"/>
      <c r="F592" s="68"/>
      <c r="G592" s="622"/>
      <c r="H592" s="71"/>
      <c r="I592" s="71"/>
    </row>
    <row r="593" spans="1:9" s="4" customFormat="1">
      <c r="A593" s="68"/>
      <c r="B593" s="68"/>
      <c r="C593" s="68"/>
      <c r="D593" s="68"/>
      <c r="E593" s="68"/>
      <c r="F593" s="68"/>
      <c r="G593" s="622"/>
      <c r="H593" s="71"/>
      <c r="I593" s="71"/>
    </row>
    <row r="594" spans="1:9" s="4" customFormat="1">
      <c r="A594" s="61"/>
      <c r="B594" s="36"/>
      <c r="C594" s="62"/>
      <c r="D594" s="62"/>
      <c r="E594" s="62"/>
      <c r="F594" s="36"/>
      <c r="G594" s="62"/>
      <c r="H594" s="72"/>
      <c r="I594" s="50"/>
    </row>
    <row r="595" spans="1:9" s="4" customFormat="1">
      <c r="A595" s="36"/>
      <c r="B595" s="36"/>
      <c r="C595" s="36"/>
      <c r="D595" s="36"/>
      <c r="E595" s="36"/>
      <c r="F595" s="36"/>
      <c r="G595" s="50"/>
      <c r="H595" s="50"/>
      <c r="I595" s="70"/>
    </row>
    <row r="596" spans="1:9" s="4" customFormat="1">
      <c r="A596" s="36"/>
      <c r="B596" s="36"/>
      <c r="C596" s="36"/>
      <c r="D596" s="36"/>
      <c r="E596" s="36"/>
      <c r="F596" s="36"/>
      <c r="G596" s="70"/>
      <c r="H596" s="50"/>
      <c r="I596" s="50"/>
    </row>
    <row r="597" spans="1:9" s="4" customFormat="1">
      <c r="A597" s="36"/>
      <c r="B597" s="36"/>
      <c r="C597" s="36"/>
      <c r="D597" s="36"/>
      <c r="E597" s="36"/>
      <c r="F597" s="36"/>
      <c r="G597" s="47"/>
      <c r="H597" s="50"/>
      <c r="I597" s="50"/>
    </row>
    <row r="598" spans="1:9" s="4" customFormat="1">
      <c r="A598" s="36"/>
      <c r="B598" s="36"/>
      <c r="C598" s="36"/>
      <c r="D598" s="36"/>
      <c r="E598" s="36"/>
      <c r="F598" s="36"/>
      <c r="G598" s="73"/>
      <c r="H598" s="50"/>
      <c r="I598" s="50"/>
    </row>
    <row r="599" spans="1:9" s="4" customFormat="1">
      <c r="A599" s="36"/>
      <c r="B599" s="36"/>
      <c r="C599" s="36"/>
      <c r="D599" s="36"/>
      <c r="E599" s="36"/>
      <c r="F599" s="50"/>
      <c r="G599" s="36"/>
      <c r="H599" s="36"/>
      <c r="I599" s="36"/>
    </row>
    <row r="600" spans="1:9" s="4" customFormat="1">
      <c r="A600" s="63"/>
      <c r="B600" s="36"/>
      <c r="C600" s="36"/>
      <c r="D600" s="36"/>
      <c r="E600" s="36"/>
      <c r="F600" s="50"/>
      <c r="G600" s="36"/>
      <c r="H600" s="36"/>
      <c r="I600" s="36"/>
    </row>
    <row r="601" spans="1:9" s="4" customFormat="1">
      <c r="A601" s="36"/>
      <c r="B601" s="74"/>
      <c r="C601" s="36"/>
      <c r="D601" s="36"/>
      <c r="E601" s="36"/>
      <c r="F601" s="36"/>
      <c r="G601" s="36"/>
      <c r="H601" s="36"/>
      <c r="I601" s="36"/>
    </row>
    <row r="602" spans="1:9" s="4" customFormat="1">
      <c r="A602" s="619"/>
      <c r="B602" s="521"/>
      <c r="C602" s="521"/>
      <c r="D602" s="521"/>
      <c r="E602" s="619"/>
      <c r="F602" s="619"/>
      <c r="G602" s="619"/>
      <c r="H602" s="619"/>
      <c r="I602" s="619"/>
    </row>
    <row r="603" spans="1:9" s="4" customFormat="1">
      <c r="A603" s="619"/>
      <c r="B603" s="521"/>
      <c r="C603" s="521"/>
      <c r="D603" s="521"/>
      <c r="E603" s="521"/>
      <c r="F603" s="521"/>
      <c r="G603" s="620"/>
      <c r="H603" s="620"/>
      <c r="I603" s="620"/>
    </row>
    <row r="604" spans="1:9" s="4" customFormat="1">
      <c r="A604" s="64"/>
      <c r="B604" s="76"/>
      <c r="C604" s="50"/>
      <c r="D604" s="50"/>
      <c r="E604" s="50"/>
      <c r="F604" s="65"/>
      <c r="G604" s="50"/>
      <c r="H604" s="50"/>
      <c r="I604" s="55"/>
    </row>
    <row r="605" spans="1:9" s="4" customFormat="1">
      <c r="A605" s="64"/>
      <c r="B605" s="76"/>
      <c r="C605" s="50"/>
      <c r="D605" s="50"/>
      <c r="E605" s="50"/>
      <c r="F605" s="65"/>
      <c r="G605" s="50"/>
      <c r="H605" s="54"/>
      <c r="I605" s="55"/>
    </row>
    <row r="606" spans="1:9" s="4" customFormat="1">
      <c r="A606" s="64"/>
      <c r="B606" s="76"/>
      <c r="C606" s="50"/>
      <c r="D606" s="50"/>
      <c r="E606" s="50"/>
      <c r="F606" s="65"/>
      <c r="G606" s="50"/>
      <c r="H606" s="54"/>
      <c r="I606" s="36"/>
    </row>
    <row r="607" spans="1:9" s="4" customFormat="1">
      <c r="A607" s="64"/>
      <c r="B607" s="76"/>
      <c r="C607" s="50"/>
      <c r="D607" s="50"/>
      <c r="E607" s="50"/>
      <c r="F607" s="65"/>
      <c r="G607" s="50"/>
      <c r="H607" s="54"/>
      <c r="I607" s="55"/>
    </row>
    <row r="608" spans="1:9" s="4" customFormat="1">
      <c r="A608" s="64"/>
      <c r="B608" s="77"/>
      <c r="C608" s="50"/>
      <c r="D608" s="50"/>
      <c r="E608" s="50"/>
      <c r="F608" s="65"/>
      <c r="G608" s="50"/>
      <c r="H608" s="54"/>
      <c r="I608" s="55"/>
    </row>
    <row r="609" spans="1:9" s="4" customFormat="1">
      <c r="A609" s="64"/>
      <c r="B609" s="77"/>
      <c r="C609" s="50"/>
      <c r="D609" s="50"/>
      <c r="E609" s="50"/>
      <c r="F609" s="65"/>
      <c r="G609" s="50"/>
      <c r="H609" s="54"/>
      <c r="I609" s="55"/>
    </row>
    <row r="610" spans="1:9" s="4" customFormat="1">
      <c r="A610" s="64"/>
      <c r="B610" s="77"/>
      <c r="C610" s="50"/>
      <c r="D610" s="50"/>
      <c r="E610" s="50"/>
      <c r="F610" s="65"/>
      <c r="G610" s="50"/>
      <c r="H610" s="54"/>
      <c r="I610" s="55"/>
    </row>
    <row r="611" spans="1:9" s="4" customFormat="1">
      <c r="A611" s="64"/>
      <c r="B611" s="77"/>
      <c r="C611" s="50"/>
      <c r="D611" s="50"/>
      <c r="E611" s="50"/>
      <c r="F611" s="65"/>
      <c r="G611" s="50"/>
      <c r="H611" s="54"/>
      <c r="I611" s="55"/>
    </row>
    <row r="612" spans="1:9" s="4" customFormat="1">
      <c r="A612" s="64"/>
      <c r="B612" s="77"/>
      <c r="C612" s="50"/>
      <c r="D612" s="50"/>
      <c r="E612" s="50"/>
      <c r="F612" s="65"/>
      <c r="G612" s="50"/>
      <c r="H612" s="54"/>
      <c r="I612" s="55"/>
    </row>
    <row r="613" spans="1:9" s="4" customFormat="1">
      <c r="A613" s="64"/>
      <c r="B613" s="77"/>
      <c r="C613" s="50"/>
      <c r="D613" s="50"/>
      <c r="E613" s="50"/>
      <c r="F613" s="65"/>
      <c r="G613" s="50"/>
      <c r="H613" s="54"/>
      <c r="I613" s="55"/>
    </row>
    <row r="614" spans="1:9" s="4" customFormat="1">
      <c r="A614" s="64"/>
      <c r="B614" s="77"/>
      <c r="C614" s="50"/>
      <c r="D614" s="50"/>
      <c r="E614" s="50"/>
      <c r="F614" s="65"/>
      <c r="G614" s="50"/>
      <c r="H614" s="54"/>
      <c r="I614" s="55"/>
    </row>
    <row r="615" spans="1:9" s="4" customFormat="1">
      <c r="A615" s="64"/>
      <c r="B615" s="77"/>
      <c r="C615" s="50"/>
      <c r="D615" s="50"/>
      <c r="E615" s="50"/>
      <c r="F615" s="65"/>
      <c r="G615" s="50"/>
      <c r="H615" s="54"/>
      <c r="I615" s="55"/>
    </row>
    <row r="616" spans="1:9" s="4" customFormat="1">
      <c r="A616" s="64"/>
      <c r="B616" s="77"/>
      <c r="C616" s="50"/>
      <c r="D616" s="50"/>
      <c r="E616" s="50"/>
      <c r="F616" s="65"/>
      <c r="G616" s="50"/>
      <c r="H616" s="54"/>
      <c r="I616" s="55"/>
    </row>
    <row r="617" spans="1:9" s="4" customFormat="1">
      <c r="A617" s="64"/>
      <c r="B617" s="77"/>
      <c r="C617" s="50"/>
      <c r="D617" s="50"/>
      <c r="E617" s="50"/>
      <c r="F617" s="65"/>
      <c r="G617" s="50"/>
      <c r="H617" s="54"/>
      <c r="I617" s="55"/>
    </row>
    <row r="618" spans="1:9" s="4" customFormat="1">
      <c r="A618" s="64"/>
      <c r="B618" s="77"/>
      <c r="C618" s="50"/>
      <c r="D618" s="50"/>
      <c r="E618" s="50"/>
      <c r="F618" s="65"/>
      <c r="G618" s="50"/>
      <c r="H618" s="54"/>
      <c r="I618" s="55"/>
    </row>
    <row r="619" spans="1:9" s="4" customFormat="1">
      <c r="A619" s="64"/>
      <c r="B619" s="77"/>
      <c r="C619" s="50"/>
      <c r="D619" s="50"/>
      <c r="E619" s="50"/>
      <c r="F619" s="65"/>
      <c r="G619" s="50"/>
      <c r="H619" s="54"/>
      <c r="I619" s="55"/>
    </row>
    <row r="620" spans="1:9" s="4" customFormat="1">
      <c r="A620" s="64"/>
      <c r="B620" s="77"/>
      <c r="C620" s="50"/>
      <c r="D620" s="50"/>
      <c r="E620" s="50"/>
      <c r="F620" s="65"/>
      <c r="G620" s="50"/>
      <c r="H620" s="54"/>
      <c r="I620" s="55"/>
    </row>
    <row r="621" spans="1:9" s="4" customFormat="1">
      <c r="A621" s="64"/>
      <c r="B621" s="77"/>
      <c r="C621" s="50"/>
      <c r="D621" s="50"/>
      <c r="E621" s="50"/>
      <c r="F621" s="65"/>
      <c r="G621" s="50"/>
      <c r="H621" s="54"/>
      <c r="I621" s="55"/>
    </row>
    <row r="622" spans="1:9" s="4" customFormat="1">
      <c r="A622" s="64"/>
      <c r="B622" s="77"/>
      <c r="C622" s="50"/>
      <c r="D622" s="50"/>
      <c r="E622" s="50"/>
      <c r="F622" s="65"/>
      <c r="G622" s="50"/>
      <c r="H622" s="54"/>
      <c r="I622" s="55"/>
    </row>
    <row r="623" spans="1:9" s="4" customFormat="1">
      <c r="A623" s="64"/>
      <c r="B623" s="77"/>
      <c r="C623" s="50"/>
      <c r="D623" s="50"/>
      <c r="E623" s="50"/>
      <c r="F623" s="65"/>
      <c r="G623" s="50"/>
      <c r="H623" s="54"/>
      <c r="I623" s="55"/>
    </row>
    <row r="624" spans="1:9" s="4" customFormat="1">
      <c r="A624" s="64"/>
      <c r="B624" s="77"/>
      <c r="C624" s="50"/>
      <c r="D624" s="50"/>
      <c r="E624" s="50"/>
      <c r="F624" s="65"/>
      <c r="G624" s="50"/>
      <c r="H624" s="54"/>
      <c r="I624" s="55"/>
    </row>
    <row r="625" spans="1:9" s="4" customFormat="1">
      <c r="A625" s="64"/>
      <c r="B625" s="77"/>
      <c r="C625" s="50"/>
      <c r="D625" s="50"/>
      <c r="E625" s="50"/>
      <c r="F625" s="65"/>
      <c r="G625" s="50"/>
      <c r="H625" s="54"/>
      <c r="I625" s="55"/>
    </row>
    <row r="626" spans="1:9" s="4" customFormat="1">
      <c r="A626" s="64"/>
      <c r="B626" s="77"/>
      <c r="C626" s="50"/>
      <c r="D626" s="50"/>
      <c r="E626" s="50"/>
      <c r="F626" s="65"/>
      <c r="G626" s="50"/>
      <c r="H626" s="54"/>
      <c r="I626" s="55"/>
    </row>
    <row r="627" spans="1:9" s="4" customFormat="1">
      <c r="A627" s="64"/>
      <c r="B627" s="77"/>
      <c r="C627" s="50"/>
      <c r="D627" s="50"/>
      <c r="E627" s="50"/>
      <c r="F627" s="65"/>
      <c r="G627" s="50"/>
      <c r="H627" s="54"/>
      <c r="I627" s="55"/>
    </row>
    <row r="628" spans="1:9" s="4" customFormat="1">
      <c r="A628" s="64"/>
      <c r="B628" s="77"/>
      <c r="C628" s="50"/>
      <c r="D628" s="50"/>
      <c r="E628" s="50"/>
      <c r="F628" s="65"/>
      <c r="G628" s="50"/>
      <c r="H628" s="54"/>
      <c r="I628" s="55"/>
    </row>
    <row r="629" spans="1:9" s="4" customFormat="1">
      <c r="A629" s="82"/>
      <c r="B629" s="56"/>
      <c r="C629" s="56"/>
      <c r="D629" s="56"/>
      <c r="E629" s="56"/>
      <c r="F629" s="56"/>
      <c r="G629" s="56"/>
      <c r="H629" s="56"/>
      <c r="I629" s="56"/>
    </row>
    <row r="630" spans="1:9" s="4" customFormat="1">
      <c r="A630" s="36"/>
      <c r="B630" s="50"/>
      <c r="C630" s="50"/>
      <c r="D630" s="50"/>
      <c r="E630" s="50"/>
      <c r="F630" s="36"/>
      <c r="G630" s="36"/>
      <c r="H630" s="36"/>
      <c r="I630" s="36"/>
    </row>
    <row r="631" spans="1:9" s="4" customFormat="1">
      <c r="A631" s="36"/>
      <c r="B631" s="36"/>
      <c r="C631" s="78"/>
      <c r="D631" s="78"/>
      <c r="E631" s="79"/>
      <c r="F631" s="80"/>
      <c r="G631" s="78"/>
      <c r="H631" s="36"/>
      <c r="I631" s="81"/>
    </row>
    <row r="632" spans="1:9" s="4" customFormat="1" ht="12"/>
    <row r="633" spans="1:9" s="4" customFormat="1" ht="20.25">
      <c r="A633" s="66"/>
      <c r="B633" s="67"/>
      <c r="G633" s="57"/>
      <c r="H633" s="57"/>
      <c r="I633" s="57"/>
    </row>
    <row r="634" spans="1:9" s="4" customFormat="1" ht="20.25">
      <c r="A634" s="618"/>
      <c r="B634" s="668"/>
      <c r="C634" s="668"/>
      <c r="D634" s="522"/>
      <c r="E634" s="57"/>
      <c r="F634" s="57"/>
      <c r="G634" s="57"/>
      <c r="H634" s="57"/>
      <c r="I634" s="57"/>
    </row>
    <row r="635" spans="1:9" s="4" customFormat="1">
      <c r="A635" s="68"/>
      <c r="B635" s="68"/>
      <c r="C635" s="68"/>
      <c r="D635" s="68"/>
      <c r="E635" s="68"/>
      <c r="F635" s="68"/>
      <c r="G635" s="69"/>
      <c r="H635" s="69"/>
      <c r="I635" s="615"/>
    </row>
    <row r="636" spans="1:9" s="4" customFormat="1">
      <c r="A636" s="68"/>
      <c r="B636" s="68"/>
      <c r="C636" s="68"/>
      <c r="D636" s="68"/>
      <c r="E636" s="68"/>
      <c r="F636" s="68"/>
      <c r="G636" s="69"/>
      <c r="H636" s="69"/>
      <c r="I636" s="615"/>
    </row>
    <row r="637" spans="1:9" s="4" customFormat="1">
      <c r="A637" s="36"/>
      <c r="B637" s="36"/>
      <c r="C637" s="36"/>
      <c r="D637" s="36"/>
      <c r="E637" s="36"/>
      <c r="F637" s="36"/>
      <c r="G637" s="36"/>
      <c r="H637" s="50"/>
      <c r="I637" s="36"/>
    </row>
    <row r="638" spans="1:9" s="4" customFormat="1">
      <c r="A638" s="36"/>
      <c r="B638" s="36"/>
      <c r="C638" s="36"/>
      <c r="D638" s="36"/>
      <c r="E638" s="36"/>
      <c r="F638" s="36"/>
      <c r="G638" s="58"/>
      <c r="H638" s="70"/>
      <c r="I638" s="50"/>
    </row>
    <row r="639" spans="1:9" s="4" customFormat="1">
      <c r="A639" s="36"/>
      <c r="B639" s="36"/>
      <c r="C639" s="36"/>
      <c r="D639" s="36"/>
      <c r="E639" s="36"/>
      <c r="F639" s="36"/>
      <c r="G639" s="59"/>
      <c r="H639" s="70"/>
      <c r="I639" s="50"/>
    </row>
    <row r="640" spans="1:9" s="4" customFormat="1">
      <c r="A640" s="36"/>
      <c r="B640" s="36"/>
      <c r="C640" s="36"/>
      <c r="D640" s="36"/>
      <c r="E640" s="36"/>
      <c r="F640" s="36"/>
      <c r="G640" s="60"/>
      <c r="H640" s="70"/>
      <c r="I640" s="50"/>
    </row>
    <row r="641" spans="1:9" s="4" customFormat="1">
      <c r="A641" s="36"/>
      <c r="B641" s="36"/>
      <c r="C641" s="36"/>
      <c r="D641" s="36"/>
      <c r="E641" s="36"/>
      <c r="F641" s="36"/>
      <c r="G641" s="60"/>
      <c r="H641" s="70"/>
      <c r="I641" s="50"/>
    </row>
    <row r="642" spans="1:9" s="4" customFormat="1">
      <c r="A642" s="36"/>
      <c r="B642" s="36"/>
      <c r="C642" s="36"/>
      <c r="D642" s="36"/>
      <c r="E642" s="36"/>
      <c r="F642" s="36"/>
      <c r="G642" s="60"/>
      <c r="H642" s="70"/>
      <c r="I642" s="50"/>
    </row>
    <row r="643" spans="1:9" s="4" customFormat="1">
      <c r="A643" s="36"/>
      <c r="B643" s="36"/>
      <c r="C643" s="36"/>
      <c r="D643" s="36"/>
      <c r="E643" s="36"/>
      <c r="F643" s="36"/>
      <c r="G643" s="60"/>
      <c r="H643" s="70"/>
      <c r="I643" s="50"/>
    </row>
    <row r="644" spans="1:9" s="4" customFormat="1">
      <c r="A644" s="36"/>
      <c r="B644" s="36"/>
      <c r="C644" s="36"/>
      <c r="D644" s="36"/>
      <c r="E644" s="36"/>
      <c r="F644" s="36"/>
      <c r="G644" s="36"/>
      <c r="H644" s="36"/>
      <c r="I644" s="36"/>
    </row>
    <row r="645" spans="1:9" s="4" customFormat="1">
      <c r="A645" s="68"/>
      <c r="B645" s="68"/>
      <c r="C645" s="68"/>
      <c r="D645" s="68"/>
      <c r="E645" s="68"/>
      <c r="F645" s="68"/>
      <c r="G645" s="622"/>
      <c r="H645" s="71"/>
      <c r="I645" s="71"/>
    </row>
    <row r="646" spans="1:9" s="4" customFormat="1">
      <c r="A646" s="68"/>
      <c r="B646" s="68"/>
      <c r="C646" s="68"/>
      <c r="D646" s="68"/>
      <c r="E646" s="68"/>
      <c r="F646" s="68"/>
      <c r="G646" s="622"/>
      <c r="H646" s="71"/>
      <c r="I646" s="71"/>
    </row>
    <row r="647" spans="1:9" s="4" customFormat="1">
      <c r="A647" s="61"/>
      <c r="B647" s="36"/>
      <c r="C647" s="62"/>
      <c r="D647" s="62"/>
      <c r="E647" s="62"/>
      <c r="F647" s="36"/>
      <c r="G647" s="62"/>
      <c r="H647" s="72"/>
      <c r="I647" s="50"/>
    </row>
    <row r="648" spans="1:9" s="4" customFormat="1">
      <c r="A648" s="36"/>
      <c r="B648" s="36"/>
      <c r="C648" s="36"/>
      <c r="D648" s="36"/>
      <c r="E648" s="36"/>
      <c r="F648" s="36"/>
      <c r="G648" s="50"/>
      <c r="H648" s="50"/>
      <c r="I648" s="70"/>
    </row>
    <row r="649" spans="1:9" s="4" customFormat="1">
      <c r="A649" s="36"/>
      <c r="B649" s="36"/>
      <c r="C649" s="36"/>
      <c r="D649" s="36"/>
      <c r="E649" s="36"/>
      <c r="F649" s="36"/>
      <c r="G649" s="70"/>
      <c r="H649" s="50"/>
      <c r="I649" s="50"/>
    </row>
    <row r="650" spans="1:9" s="4" customFormat="1">
      <c r="A650" s="36"/>
      <c r="B650" s="36"/>
      <c r="C650" s="36"/>
      <c r="D650" s="36"/>
      <c r="E650" s="36"/>
      <c r="F650" s="36"/>
      <c r="G650" s="47"/>
      <c r="H650" s="50"/>
      <c r="I650" s="50"/>
    </row>
    <row r="651" spans="1:9" s="4" customFormat="1">
      <c r="A651" s="36"/>
      <c r="B651" s="36"/>
      <c r="C651" s="36"/>
      <c r="D651" s="36"/>
      <c r="E651" s="36"/>
      <c r="F651" s="36"/>
      <c r="G651" s="73"/>
      <c r="H651" s="50"/>
      <c r="I651" s="50"/>
    </row>
    <row r="652" spans="1:9" s="4" customFormat="1">
      <c r="A652" s="36"/>
      <c r="B652" s="36"/>
      <c r="C652" s="36"/>
      <c r="D652" s="36"/>
      <c r="E652" s="36"/>
      <c r="F652" s="50"/>
      <c r="G652" s="36"/>
      <c r="H652" s="36"/>
      <c r="I652" s="36"/>
    </row>
    <row r="653" spans="1:9" s="4" customFormat="1">
      <c r="A653" s="63"/>
      <c r="B653" s="36"/>
      <c r="C653" s="36"/>
      <c r="D653" s="36"/>
      <c r="E653" s="36"/>
      <c r="F653" s="50"/>
      <c r="G653" s="36"/>
      <c r="H653" s="36"/>
      <c r="I653" s="36"/>
    </row>
    <row r="654" spans="1:9" s="4" customFormat="1">
      <c r="A654" s="36"/>
      <c r="B654" s="74"/>
      <c r="C654" s="36"/>
      <c r="D654" s="36"/>
      <c r="E654" s="36"/>
      <c r="F654" s="36"/>
      <c r="G654" s="36"/>
      <c r="H654" s="36"/>
      <c r="I654" s="36"/>
    </row>
    <row r="655" spans="1:9" s="4" customFormat="1">
      <c r="A655" s="619"/>
      <c r="B655" s="521"/>
      <c r="C655" s="521"/>
      <c r="D655" s="521"/>
      <c r="E655" s="619"/>
      <c r="F655" s="619"/>
      <c r="G655" s="619"/>
      <c r="H655" s="619"/>
      <c r="I655" s="619"/>
    </row>
    <row r="656" spans="1:9" s="4" customFormat="1">
      <c r="A656" s="619"/>
      <c r="B656" s="521"/>
      <c r="C656" s="521"/>
      <c r="D656" s="521"/>
      <c r="E656" s="521"/>
      <c r="F656" s="521"/>
      <c r="G656" s="620"/>
      <c r="H656" s="620"/>
      <c r="I656" s="620"/>
    </row>
    <row r="657" spans="1:9" s="4" customFormat="1">
      <c r="A657" s="64"/>
      <c r="B657" s="76"/>
      <c r="C657" s="50"/>
      <c r="D657" s="50"/>
      <c r="E657" s="50"/>
      <c r="F657" s="65"/>
      <c r="G657" s="50"/>
      <c r="H657" s="50"/>
      <c r="I657" s="55"/>
    </row>
    <row r="658" spans="1:9" s="4" customFormat="1">
      <c r="A658" s="64"/>
      <c r="B658" s="76"/>
      <c r="C658" s="50"/>
      <c r="D658" s="50"/>
      <c r="E658" s="50"/>
      <c r="F658" s="65"/>
      <c r="G658" s="50"/>
      <c r="H658" s="54"/>
      <c r="I658" s="55"/>
    </row>
    <row r="659" spans="1:9" s="4" customFormat="1">
      <c r="A659" s="64"/>
      <c r="B659" s="76"/>
      <c r="C659" s="50"/>
      <c r="D659" s="50"/>
      <c r="E659" s="50"/>
      <c r="F659" s="65"/>
      <c r="G659" s="50"/>
      <c r="H659" s="54"/>
      <c r="I659" s="36"/>
    </row>
    <row r="660" spans="1:9" s="4" customFormat="1">
      <c r="A660" s="64"/>
      <c r="B660" s="76"/>
      <c r="C660" s="50"/>
      <c r="D660" s="50"/>
      <c r="E660" s="50"/>
      <c r="F660" s="65"/>
      <c r="G660" s="50"/>
      <c r="H660" s="54"/>
      <c r="I660" s="55"/>
    </row>
    <row r="661" spans="1:9" s="4" customFormat="1">
      <c r="A661" s="64"/>
      <c r="B661" s="77"/>
      <c r="C661" s="50"/>
      <c r="D661" s="50"/>
      <c r="E661" s="50"/>
      <c r="F661" s="65"/>
      <c r="G661" s="50"/>
      <c r="H661" s="54"/>
      <c r="I661" s="55"/>
    </row>
    <row r="662" spans="1:9" s="4" customFormat="1">
      <c r="A662" s="64"/>
      <c r="B662" s="77"/>
      <c r="C662" s="50"/>
      <c r="D662" s="50"/>
      <c r="E662" s="50"/>
      <c r="F662" s="65"/>
      <c r="G662" s="50"/>
      <c r="H662" s="54"/>
      <c r="I662" s="55"/>
    </row>
    <row r="663" spans="1:9" s="4" customFormat="1">
      <c r="A663" s="64"/>
      <c r="B663" s="77"/>
      <c r="C663" s="50"/>
      <c r="D663" s="50"/>
      <c r="E663" s="50"/>
      <c r="F663" s="65"/>
      <c r="G663" s="50"/>
      <c r="H663" s="54"/>
      <c r="I663" s="55"/>
    </row>
    <row r="664" spans="1:9" s="4" customFormat="1">
      <c r="A664" s="64"/>
      <c r="B664" s="77"/>
      <c r="C664" s="50"/>
      <c r="D664" s="50"/>
      <c r="E664" s="50"/>
      <c r="F664" s="65"/>
      <c r="G664" s="50"/>
      <c r="H664" s="54"/>
      <c r="I664" s="55"/>
    </row>
    <row r="665" spans="1:9" s="4" customFormat="1">
      <c r="A665" s="64"/>
      <c r="B665" s="77"/>
      <c r="C665" s="50"/>
      <c r="D665" s="50"/>
      <c r="E665" s="50"/>
      <c r="F665" s="65"/>
      <c r="G665" s="50"/>
      <c r="H665" s="54"/>
      <c r="I665" s="55"/>
    </row>
    <row r="666" spans="1:9" s="4" customFormat="1">
      <c r="A666" s="64"/>
      <c r="B666" s="77"/>
      <c r="C666" s="50"/>
      <c r="D666" s="50"/>
      <c r="E666" s="50"/>
      <c r="F666" s="65"/>
      <c r="G666" s="50"/>
      <c r="H666" s="54"/>
      <c r="I666" s="55"/>
    </row>
    <row r="667" spans="1:9" s="4" customFormat="1">
      <c r="A667" s="64"/>
      <c r="B667" s="77"/>
      <c r="C667" s="50"/>
      <c r="D667" s="50"/>
      <c r="E667" s="50"/>
      <c r="F667" s="65"/>
      <c r="G667" s="50"/>
      <c r="H667" s="54"/>
      <c r="I667" s="55"/>
    </row>
    <row r="668" spans="1:9" s="4" customFormat="1">
      <c r="A668" s="64"/>
      <c r="B668" s="77"/>
      <c r="C668" s="50"/>
      <c r="D668" s="50"/>
      <c r="E668" s="50"/>
      <c r="F668" s="65"/>
      <c r="G668" s="50"/>
      <c r="H668" s="54"/>
      <c r="I668" s="55"/>
    </row>
    <row r="669" spans="1:9" s="4" customFormat="1">
      <c r="A669" s="64"/>
      <c r="B669" s="77"/>
      <c r="C669" s="50"/>
      <c r="D669" s="50"/>
      <c r="E669" s="50"/>
      <c r="F669" s="65"/>
      <c r="G669" s="50"/>
      <c r="H669" s="54"/>
      <c r="I669" s="55"/>
    </row>
    <row r="670" spans="1:9" s="4" customFormat="1">
      <c r="A670" s="64"/>
      <c r="B670" s="77"/>
      <c r="C670" s="50"/>
      <c r="D670" s="50"/>
      <c r="E670" s="50"/>
      <c r="F670" s="65"/>
      <c r="G670" s="50"/>
      <c r="H670" s="54"/>
      <c r="I670" s="55"/>
    </row>
    <row r="671" spans="1:9" s="4" customFormat="1">
      <c r="A671" s="64"/>
      <c r="B671" s="77"/>
      <c r="C671" s="50"/>
      <c r="D671" s="50"/>
      <c r="E671" s="50"/>
      <c r="F671" s="65"/>
      <c r="G671" s="50"/>
      <c r="H671" s="54"/>
      <c r="I671" s="55"/>
    </row>
    <row r="672" spans="1:9" s="4" customFormat="1">
      <c r="A672" s="64"/>
      <c r="B672" s="77"/>
      <c r="C672" s="50"/>
      <c r="D672" s="50"/>
      <c r="E672" s="50"/>
      <c r="F672" s="65"/>
      <c r="G672" s="50"/>
      <c r="H672" s="54"/>
      <c r="I672" s="55"/>
    </row>
    <row r="673" spans="1:9" s="4" customFormat="1">
      <c r="A673" s="64"/>
      <c r="B673" s="77"/>
      <c r="C673" s="50"/>
      <c r="D673" s="50"/>
      <c r="E673" s="50"/>
      <c r="F673" s="65"/>
      <c r="G673" s="50"/>
      <c r="H673" s="54"/>
      <c r="I673" s="55"/>
    </row>
    <row r="674" spans="1:9" s="4" customFormat="1">
      <c r="A674" s="64"/>
      <c r="B674" s="77"/>
      <c r="C674" s="50"/>
      <c r="D674" s="50"/>
      <c r="E674" s="50"/>
      <c r="F674" s="65"/>
      <c r="G674" s="50"/>
      <c r="H674" s="54"/>
      <c r="I674" s="55"/>
    </row>
    <row r="675" spans="1:9" s="4" customFormat="1">
      <c r="A675" s="64"/>
      <c r="B675" s="77"/>
      <c r="C675" s="50"/>
      <c r="D675" s="50"/>
      <c r="E675" s="50"/>
      <c r="F675" s="65"/>
      <c r="G675" s="50"/>
      <c r="H675" s="54"/>
      <c r="I675" s="55"/>
    </row>
    <row r="676" spans="1:9" s="4" customFormat="1">
      <c r="A676" s="64"/>
      <c r="B676" s="77"/>
      <c r="C676" s="50"/>
      <c r="D676" s="50"/>
      <c r="E676" s="50"/>
      <c r="F676" s="65"/>
      <c r="G676" s="50"/>
      <c r="H676" s="54"/>
      <c r="I676" s="55"/>
    </row>
    <row r="677" spans="1:9" s="4" customFormat="1">
      <c r="A677" s="64"/>
      <c r="B677" s="77"/>
      <c r="C677" s="50"/>
      <c r="D677" s="50"/>
      <c r="E677" s="50"/>
      <c r="F677" s="65"/>
      <c r="G677" s="50"/>
      <c r="H677" s="54"/>
      <c r="I677" s="55"/>
    </row>
    <row r="678" spans="1:9" s="4" customFormat="1">
      <c r="A678" s="64"/>
      <c r="B678" s="77"/>
      <c r="C678" s="50"/>
      <c r="D678" s="50"/>
      <c r="E678" s="50"/>
      <c r="F678" s="65"/>
      <c r="G678" s="50"/>
      <c r="H678" s="54"/>
      <c r="I678" s="55"/>
    </row>
    <row r="679" spans="1:9" s="4" customFormat="1">
      <c r="A679" s="64"/>
      <c r="B679" s="77"/>
      <c r="C679" s="50"/>
      <c r="D679" s="50"/>
      <c r="E679" s="50"/>
      <c r="F679" s="65"/>
      <c r="G679" s="50"/>
      <c r="H679" s="54"/>
      <c r="I679" s="55"/>
    </row>
    <row r="680" spans="1:9" s="4" customFormat="1">
      <c r="A680" s="64"/>
      <c r="B680" s="77"/>
      <c r="C680" s="50"/>
      <c r="D680" s="50"/>
      <c r="E680" s="50"/>
      <c r="F680" s="65"/>
      <c r="G680" s="50"/>
      <c r="H680" s="54"/>
      <c r="I680" s="55"/>
    </row>
    <row r="681" spans="1:9" s="4" customFormat="1">
      <c r="A681" s="64"/>
      <c r="B681" s="77"/>
      <c r="C681" s="50"/>
      <c r="D681" s="50"/>
      <c r="E681" s="50"/>
      <c r="F681" s="65"/>
      <c r="G681" s="50"/>
      <c r="H681" s="54"/>
      <c r="I681" s="55"/>
    </row>
    <row r="682" spans="1:9" s="4" customFormat="1">
      <c r="A682" s="82"/>
      <c r="B682" s="56"/>
      <c r="C682" s="56"/>
      <c r="D682" s="56"/>
      <c r="E682" s="56"/>
      <c r="F682" s="56"/>
      <c r="G682" s="56"/>
      <c r="H682" s="56"/>
      <c r="I682" s="56"/>
    </row>
    <row r="683" spans="1:9" s="4" customFormat="1">
      <c r="A683" s="36"/>
      <c r="B683" s="50"/>
      <c r="C683" s="50"/>
      <c r="D683" s="50"/>
      <c r="E683" s="50"/>
      <c r="F683" s="36"/>
      <c r="G683" s="36"/>
      <c r="H683" s="36"/>
      <c r="I683" s="36"/>
    </row>
    <row r="684" spans="1:9" s="4" customFormat="1">
      <c r="A684" s="36"/>
      <c r="B684" s="36"/>
      <c r="C684" s="78"/>
      <c r="D684" s="78"/>
      <c r="E684" s="79"/>
      <c r="F684" s="80"/>
      <c r="G684" s="78"/>
      <c r="H684" s="36"/>
      <c r="I684" s="81"/>
    </row>
    <row r="685" spans="1:9" s="4" customFormat="1" ht="12"/>
  </sheetData>
  <mergeCells count="87">
    <mergeCell ref="A634:C634"/>
    <mergeCell ref="I635:I636"/>
    <mergeCell ref="G645:G646"/>
    <mergeCell ref="A655:A656"/>
    <mergeCell ref="E655:F655"/>
    <mergeCell ref="G655:G656"/>
    <mergeCell ref="H655:H656"/>
    <mergeCell ref="I655:I656"/>
    <mergeCell ref="A581:C581"/>
    <mergeCell ref="I582:I583"/>
    <mergeCell ref="G592:G593"/>
    <mergeCell ref="A602:A603"/>
    <mergeCell ref="E602:F602"/>
    <mergeCell ref="G602:G603"/>
    <mergeCell ref="H602:H603"/>
    <mergeCell ref="I602:I603"/>
    <mergeCell ref="A528:C528"/>
    <mergeCell ref="I529:I530"/>
    <mergeCell ref="G539:G540"/>
    <mergeCell ref="A549:A550"/>
    <mergeCell ref="E549:F549"/>
    <mergeCell ref="G549:G550"/>
    <mergeCell ref="H549:H550"/>
    <mergeCell ref="I549:I550"/>
    <mergeCell ref="A474:C474"/>
    <mergeCell ref="I475:I476"/>
    <mergeCell ref="G485:G486"/>
    <mergeCell ref="A495:A496"/>
    <mergeCell ref="E495:F495"/>
    <mergeCell ref="G495:G496"/>
    <mergeCell ref="H495:H496"/>
    <mergeCell ref="I495:I496"/>
    <mergeCell ref="A420:C420"/>
    <mergeCell ref="I421:I422"/>
    <mergeCell ref="G431:G432"/>
    <mergeCell ref="A441:A442"/>
    <mergeCell ref="E441:F441"/>
    <mergeCell ref="G441:G442"/>
    <mergeCell ref="H441:H442"/>
    <mergeCell ref="I441:I442"/>
    <mergeCell ref="A366:C366"/>
    <mergeCell ref="I367:I368"/>
    <mergeCell ref="G377:G378"/>
    <mergeCell ref="A387:A388"/>
    <mergeCell ref="E387:F387"/>
    <mergeCell ref="G387:G388"/>
    <mergeCell ref="H387:H388"/>
    <mergeCell ref="I387:I388"/>
    <mergeCell ref="A312:C312"/>
    <mergeCell ref="I313:I314"/>
    <mergeCell ref="G323:G324"/>
    <mergeCell ref="A333:A334"/>
    <mergeCell ref="E333:F333"/>
    <mergeCell ref="G333:G334"/>
    <mergeCell ref="H333:H334"/>
    <mergeCell ref="I333:I334"/>
    <mergeCell ref="A259:C259"/>
    <mergeCell ref="I260:I261"/>
    <mergeCell ref="G270:G271"/>
    <mergeCell ref="A280:A281"/>
    <mergeCell ref="E280:F280"/>
    <mergeCell ref="G280:G281"/>
    <mergeCell ref="H280:H281"/>
    <mergeCell ref="I280:I281"/>
    <mergeCell ref="A204:C204"/>
    <mergeCell ref="I205:I206"/>
    <mergeCell ref="G215:G216"/>
    <mergeCell ref="A225:A226"/>
    <mergeCell ref="E225:F225"/>
    <mergeCell ref="G225:G226"/>
    <mergeCell ref="H225:H226"/>
    <mergeCell ref="I225:I226"/>
    <mergeCell ref="S3:T3"/>
    <mergeCell ref="A150:C150"/>
    <mergeCell ref="I151:I152"/>
    <mergeCell ref="G161:G162"/>
    <mergeCell ref="A171:A172"/>
    <mergeCell ref="E171:F171"/>
    <mergeCell ref="G171:G172"/>
    <mergeCell ref="H171:H172"/>
    <mergeCell ref="I171:I172"/>
    <mergeCell ref="G3:H3"/>
    <mergeCell ref="I3:J3"/>
    <mergeCell ref="K3:L3"/>
    <mergeCell ref="M3:N3"/>
    <mergeCell ref="O3:P3"/>
    <mergeCell ref="Q3:R3"/>
  </mergeCells>
  <pageMargins left="0.75" right="0.75" top="1" bottom="1" header="0.5" footer="0.5"/>
  <pageSetup paperSize="8" scale="50" pageOrder="overThenDown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5">
    <pageSetUpPr fitToPage="1"/>
  </sheetPr>
  <dimension ref="A2:AI770"/>
  <sheetViews>
    <sheetView showGridLines="0" zoomScaleNormal="100" workbookViewId="0">
      <pane ySplit="5" topLeftCell="A12" activePane="bottomLeft" state="frozen"/>
      <selection pane="bottomLeft"/>
    </sheetView>
  </sheetViews>
  <sheetFormatPr defaultRowHeight="12.75" outlineLevelCol="1"/>
  <cols>
    <col min="1" max="1" width="10.42578125" bestFit="1" customWidth="1"/>
    <col min="2" max="2" width="57.7109375" style="24" customWidth="1"/>
    <col min="3" max="3" width="11.42578125" style="25" bestFit="1" customWidth="1"/>
    <col min="4" max="4" width="10.5703125" style="25" bestFit="1" customWidth="1"/>
    <col min="5" max="5" width="13.42578125" bestFit="1" customWidth="1"/>
    <col min="6" max="7" width="12.28515625" customWidth="1"/>
    <col min="8" max="8" width="11.85546875" customWidth="1"/>
    <col min="9" max="9" width="12.28515625" customWidth="1"/>
    <col min="10" max="13" width="12.28515625" customWidth="1" outlineLevel="1"/>
    <col min="14" max="14" width="12.28515625" customWidth="1"/>
    <col min="15" max="18" width="12.28515625" customWidth="1" outlineLevel="1"/>
    <col min="19" max="19" width="12.28515625" customWidth="1"/>
    <col min="20" max="20" width="12.28515625" customWidth="1" outlineLevel="1"/>
  </cols>
  <sheetData>
    <row r="2" spans="1:21">
      <c r="E2" s="168">
        <v>0</v>
      </c>
      <c r="F2" s="168">
        <f t="shared" ref="F2:T2" si="0">E2+1</f>
        <v>1</v>
      </c>
      <c r="G2" s="168">
        <f t="shared" si="0"/>
        <v>2</v>
      </c>
      <c r="H2" s="168">
        <f t="shared" si="0"/>
        <v>3</v>
      </c>
      <c r="I2" s="168">
        <f t="shared" si="0"/>
        <v>4</v>
      </c>
      <c r="J2" s="168">
        <f t="shared" si="0"/>
        <v>5</v>
      </c>
      <c r="K2" s="168">
        <f t="shared" si="0"/>
        <v>6</v>
      </c>
      <c r="L2" s="168">
        <f t="shared" si="0"/>
        <v>7</v>
      </c>
      <c r="M2" s="168">
        <f t="shared" si="0"/>
        <v>8</v>
      </c>
      <c r="N2" s="168">
        <f t="shared" si="0"/>
        <v>9</v>
      </c>
      <c r="O2" s="168">
        <f t="shared" si="0"/>
        <v>10</v>
      </c>
      <c r="P2" s="168">
        <f t="shared" si="0"/>
        <v>11</v>
      </c>
      <c r="Q2" s="168">
        <f t="shared" si="0"/>
        <v>12</v>
      </c>
      <c r="R2" s="168">
        <f t="shared" si="0"/>
        <v>13</v>
      </c>
      <c r="S2" s="168">
        <f t="shared" si="0"/>
        <v>14</v>
      </c>
      <c r="T2" s="168">
        <f t="shared" si="0"/>
        <v>15</v>
      </c>
    </row>
    <row r="3" spans="1:21">
      <c r="A3" s="1"/>
      <c r="B3" s="293" t="s">
        <v>513</v>
      </c>
      <c r="C3" s="293"/>
      <c r="D3" s="294"/>
      <c r="E3" s="293"/>
      <c r="F3" s="293"/>
      <c r="G3" s="667"/>
      <c r="H3" s="667"/>
      <c r="I3" s="667"/>
      <c r="J3" s="667"/>
      <c r="K3" s="667"/>
      <c r="L3" s="667"/>
      <c r="M3" s="667"/>
      <c r="N3" s="667"/>
      <c r="O3" s="667"/>
      <c r="P3" s="667"/>
      <c r="Q3" s="667"/>
      <c r="R3" s="667"/>
      <c r="S3" s="667"/>
      <c r="T3" s="667"/>
      <c r="U3" s="1"/>
    </row>
    <row r="4" spans="1:21">
      <c r="A4" s="1"/>
      <c r="B4" s="100"/>
      <c r="C4" s="84"/>
      <c r="D4" s="84"/>
      <c r="E4" s="1"/>
      <c r="F4" s="1"/>
      <c r="G4" s="1"/>
      <c r="H4" s="1"/>
      <c r="I4" s="281"/>
      <c r="J4" s="1"/>
      <c r="K4" s="1"/>
      <c r="L4" s="1"/>
      <c r="M4" s="281"/>
      <c r="N4" s="281"/>
      <c r="O4" s="281"/>
      <c r="P4" s="281"/>
      <c r="Q4" s="281"/>
      <c r="R4" s="281"/>
      <c r="S4" s="281"/>
      <c r="T4" s="281"/>
      <c r="U4" s="1"/>
    </row>
    <row r="5" spans="1:21">
      <c r="A5" s="1"/>
      <c r="B5" s="295" t="s">
        <v>13</v>
      </c>
      <c r="C5" s="296" t="s">
        <v>241</v>
      </c>
      <c r="D5" s="296" t="s">
        <v>15</v>
      </c>
      <c r="E5" s="297">
        <f>Założenia!E6</f>
        <v>2021</v>
      </c>
      <c r="F5" s="298">
        <f t="shared" ref="F5:T5" si="1">E5+1</f>
        <v>2022</v>
      </c>
      <c r="G5" s="298">
        <f t="shared" si="1"/>
        <v>2023</v>
      </c>
      <c r="H5" s="298">
        <f t="shared" si="1"/>
        <v>2024</v>
      </c>
      <c r="I5" s="298">
        <f t="shared" si="1"/>
        <v>2025</v>
      </c>
      <c r="J5" s="298">
        <f t="shared" si="1"/>
        <v>2026</v>
      </c>
      <c r="K5" s="298">
        <f t="shared" si="1"/>
        <v>2027</v>
      </c>
      <c r="L5" s="298">
        <f t="shared" si="1"/>
        <v>2028</v>
      </c>
      <c r="M5" s="298">
        <f t="shared" si="1"/>
        <v>2029</v>
      </c>
      <c r="N5" s="298">
        <f t="shared" si="1"/>
        <v>2030</v>
      </c>
      <c r="O5" s="298">
        <f t="shared" si="1"/>
        <v>2031</v>
      </c>
      <c r="P5" s="298">
        <f t="shared" si="1"/>
        <v>2032</v>
      </c>
      <c r="Q5" s="298">
        <f t="shared" si="1"/>
        <v>2033</v>
      </c>
      <c r="R5" s="298">
        <f t="shared" si="1"/>
        <v>2034</v>
      </c>
      <c r="S5" s="298">
        <f t="shared" si="1"/>
        <v>2035</v>
      </c>
      <c r="T5" s="298">
        <f t="shared" si="1"/>
        <v>2036</v>
      </c>
      <c r="U5" s="1"/>
    </row>
    <row r="6" spans="1:21">
      <c r="A6" s="1"/>
      <c r="B6" s="100"/>
      <c r="C6" s="84"/>
      <c r="D6" s="8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>
      <c r="A7" s="1"/>
      <c r="B7" s="100"/>
      <c r="C7" s="84"/>
      <c r="D7" s="84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"/>
    </row>
    <row r="8" spans="1:21" s="1" customFormat="1" ht="12">
      <c r="A8" s="269" t="s">
        <v>248</v>
      </c>
      <c r="B8" s="95" t="s">
        <v>276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1" s="26" customFormat="1">
      <c r="A9" s="108" t="s">
        <v>34</v>
      </c>
      <c r="B9" s="299" t="s">
        <v>299</v>
      </c>
      <c r="C9" s="214" t="s">
        <v>0</v>
      </c>
      <c r="D9" s="300"/>
      <c r="E9" s="125">
        <f>przychody!D7*1000000</f>
        <v>9037074.8387096804</v>
      </c>
      <c r="F9" s="125">
        <f>przychody!E7*1000000</f>
        <v>8513112.9032258075</v>
      </c>
      <c r="G9" s="125">
        <f>przychody!F7*1000000</f>
        <v>5613484.5161290327</v>
      </c>
      <c r="H9" s="125">
        <f>przychody!G7*1000000</f>
        <v>6366641.7773626596</v>
      </c>
      <c r="I9" s="125">
        <f>przychody!H7*1000000</f>
        <v>6742273.0504320581</v>
      </c>
      <c r="J9" s="125">
        <f>przychody!I7*1000000</f>
        <v>6986859.2351436988</v>
      </c>
      <c r="K9" s="125">
        <f>przychody!J7*1000000</f>
        <v>7154077.3085194221</v>
      </c>
      <c r="L9" s="125">
        <f>przychody!K7*1000000</f>
        <v>7269297.0262742862</v>
      </c>
      <c r="M9" s="125">
        <f>przychody!L7*1000000</f>
        <v>7423897.9180176072</v>
      </c>
      <c r="N9" s="125">
        <f>przychody!M7*1000000</f>
        <v>7553249.9995176541</v>
      </c>
      <c r="O9" s="125">
        <f>przychody!N7*1000000</f>
        <v>7662689.2755108653</v>
      </c>
      <c r="P9" s="125">
        <f>przychody!O7*1000000</f>
        <v>7755956.4678226411</v>
      </c>
      <c r="Q9" s="125">
        <f>przychody!P7*1000000</f>
        <v>7835783.7634866256</v>
      </c>
      <c r="R9" s="125">
        <f>przychody!Q7*1000000</f>
        <v>7958875.8729463294</v>
      </c>
      <c r="S9" s="125">
        <f>przychody!R7*1000000</f>
        <v>7958875.8729463294</v>
      </c>
      <c r="T9" s="125">
        <f>przychody!S7*1000000</f>
        <v>7958875.8729463294</v>
      </c>
      <c r="U9" s="13"/>
    </row>
    <row r="10" spans="1:21" s="26" customFormat="1">
      <c r="A10" s="108" t="s">
        <v>35</v>
      </c>
      <c r="B10" s="299" t="s">
        <v>75</v>
      </c>
      <c r="C10" s="214" t="s">
        <v>0</v>
      </c>
      <c r="D10" s="300"/>
      <c r="E10" s="125">
        <f t="shared" ref="E10:T10" si="2">E11+E40</f>
        <v>12298792.646329261</v>
      </c>
      <c r="F10" s="125">
        <f t="shared" si="2"/>
        <v>12356361.832291126</v>
      </c>
      <c r="G10" s="125">
        <f t="shared" si="2"/>
        <v>12411655.320090674</v>
      </c>
      <c r="H10" s="125">
        <f t="shared" si="2"/>
        <v>12466948.807890221</v>
      </c>
      <c r="I10" s="125">
        <f t="shared" si="2"/>
        <v>12522242.295689765</v>
      </c>
      <c r="J10" s="125">
        <f t="shared" si="2"/>
        <v>12577535.783489313</v>
      </c>
      <c r="K10" s="125">
        <f t="shared" si="2"/>
        <v>12632829.271288861</v>
      </c>
      <c r="L10" s="125">
        <f t="shared" si="2"/>
        <v>12352315.967330184</v>
      </c>
      <c r="M10" s="125">
        <f t="shared" si="2"/>
        <v>12407609.455129731</v>
      </c>
      <c r="N10" s="125">
        <f t="shared" si="2"/>
        <v>12462902.942929279</v>
      </c>
      <c r="O10" s="125">
        <f t="shared" si="2"/>
        <v>12518196.430728823</v>
      </c>
      <c r="P10" s="125">
        <f t="shared" si="2"/>
        <v>12573489.918528371</v>
      </c>
      <c r="Q10" s="125">
        <f t="shared" si="2"/>
        <v>12628783.406327918</v>
      </c>
      <c r="R10" s="125">
        <f t="shared" si="2"/>
        <v>12684076.894127466</v>
      </c>
      <c r="S10" s="125">
        <f t="shared" si="2"/>
        <v>12739370.38192701</v>
      </c>
      <c r="T10" s="125">
        <f t="shared" si="2"/>
        <v>12352315.967330184</v>
      </c>
      <c r="U10" s="13"/>
    </row>
    <row r="11" spans="1:21" s="26" customFormat="1">
      <c r="A11" s="108" t="s">
        <v>375</v>
      </c>
      <c r="B11" s="299" t="s">
        <v>374</v>
      </c>
      <c r="C11" s="214"/>
      <c r="D11" s="300"/>
      <c r="E11" s="125">
        <f>E12+E33+E35+E36+E37+E34</f>
        <v>10950076.108431185</v>
      </c>
      <c r="F11" s="125">
        <f t="shared" ref="F11:T11" si="3">F12+F33+F35+F36+F37+F34</f>
        <v>11007645.294393051</v>
      </c>
      <c r="G11" s="125">
        <f t="shared" si="3"/>
        <v>11062938.782192597</v>
      </c>
      <c r="H11" s="125">
        <f t="shared" si="3"/>
        <v>11118232.269992145</v>
      </c>
      <c r="I11" s="125">
        <f t="shared" si="3"/>
        <v>11173525.757791691</v>
      </c>
      <c r="J11" s="125">
        <f t="shared" si="3"/>
        <v>11228819.245591238</v>
      </c>
      <c r="K11" s="125">
        <f t="shared" si="3"/>
        <v>11284112.733390786</v>
      </c>
      <c r="L11" s="125">
        <f t="shared" si="3"/>
        <v>11003599.429432109</v>
      </c>
      <c r="M11" s="125">
        <f t="shared" si="3"/>
        <v>11058892.917231655</v>
      </c>
      <c r="N11" s="125">
        <f t="shared" si="3"/>
        <v>11114186.405031202</v>
      </c>
      <c r="O11" s="125">
        <f t="shared" si="3"/>
        <v>11169479.892830748</v>
      </c>
      <c r="P11" s="125">
        <f t="shared" si="3"/>
        <v>11224773.380630296</v>
      </c>
      <c r="Q11" s="125">
        <f t="shared" si="3"/>
        <v>11280066.868429841</v>
      </c>
      <c r="R11" s="125">
        <f t="shared" si="3"/>
        <v>11335360.356229389</v>
      </c>
      <c r="S11" s="125">
        <f t="shared" si="3"/>
        <v>11390653.844028935</v>
      </c>
      <c r="T11" s="125">
        <f t="shared" si="3"/>
        <v>11003599.429432109</v>
      </c>
      <c r="U11" s="13"/>
    </row>
    <row r="12" spans="1:21" s="13" customFormat="1" ht="12">
      <c r="A12" s="108" t="s">
        <v>49</v>
      </c>
      <c r="B12" s="118" t="s">
        <v>80</v>
      </c>
      <c r="C12" s="301" t="s">
        <v>0</v>
      </c>
      <c r="D12" s="302"/>
      <c r="E12" s="22">
        <f t="shared" ref="E12:T12" si="4">E13+E15+E24</f>
        <v>2210847.2693271409</v>
      </c>
      <c r="F12" s="22">
        <f t="shared" si="4"/>
        <v>2233758.494420765</v>
      </c>
      <c r="G12" s="22">
        <f t="shared" si="4"/>
        <v>2254957.0614370648</v>
      </c>
      <c r="H12" s="22">
        <f t="shared" si="4"/>
        <v>2276155.6284533646</v>
      </c>
      <c r="I12" s="22">
        <f t="shared" si="4"/>
        <v>2297354.1954696649</v>
      </c>
      <c r="J12" s="22">
        <f t="shared" si="4"/>
        <v>2318552.7624859652</v>
      </c>
      <c r="K12" s="22">
        <f t="shared" si="4"/>
        <v>2339751.329502265</v>
      </c>
      <c r="L12" s="22">
        <f t="shared" si="4"/>
        <v>2232207.3797610356</v>
      </c>
      <c r="M12" s="22">
        <f t="shared" si="4"/>
        <v>2253405.9467773354</v>
      </c>
      <c r="N12" s="22">
        <f t="shared" si="4"/>
        <v>2274604.5137936356</v>
      </c>
      <c r="O12" s="22">
        <f t="shared" si="4"/>
        <v>2295803.0808099355</v>
      </c>
      <c r="P12" s="22">
        <f t="shared" si="4"/>
        <v>2317001.6478262357</v>
      </c>
      <c r="Q12" s="22">
        <f t="shared" si="4"/>
        <v>2338200.2148425356</v>
      </c>
      <c r="R12" s="22">
        <f t="shared" si="4"/>
        <v>2359398.7818588358</v>
      </c>
      <c r="S12" s="22">
        <f t="shared" si="4"/>
        <v>2380597.3488751356</v>
      </c>
      <c r="T12" s="22">
        <f t="shared" si="4"/>
        <v>2232207.3797610356</v>
      </c>
    </row>
    <row r="13" spans="1:21" s="1" customFormat="1" ht="12">
      <c r="A13" s="96" t="s">
        <v>56</v>
      </c>
      <c r="B13" s="109" t="s">
        <v>212</v>
      </c>
      <c r="C13" s="214" t="s">
        <v>0</v>
      </c>
      <c r="D13" s="300"/>
      <c r="E13" s="23">
        <f>Założenia!$E$213+E14</f>
        <v>138358</v>
      </c>
      <c r="F13" s="23">
        <f>Założenia!$E$213+F14</f>
        <v>138358</v>
      </c>
      <c r="G13" s="23">
        <f>Założenia!$E$213+G14</f>
        <v>138358</v>
      </c>
      <c r="H13" s="23">
        <f>Założenia!$E$213+H14</f>
        <v>138358</v>
      </c>
      <c r="I13" s="23">
        <f>Założenia!$E$213+I14</f>
        <v>138358</v>
      </c>
      <c r="J13" s="23">
        <f>Założenia!$E$213+J14</f>
        <v>138358</v>
      </c>
      <c r="K13" s="23">
        <f>Założenia!$E$213+K14</f>
        <v>138358</v>
      </c>
      <c r="L13" s="23">
        <f>Założenia!$E$213+L14</f>
        <v>138358</v>
      </c>
      <c r="M13" s="23">
        <f>Założenia!$E$213+M14</f>
        <v>138358</v>
      </c>
      <c r="N13" s="23">
        <f>Założenia!$E$213+N14</f>
        <v>138358</v>
      </c>
      <c r="O13" s="23">
        <f>Założenia!$E$213+O14</f>
        <v>138358</v>
      </c>
      <c r="P13" s="23">
        <f>Założenia!$E$213+P14</f>
        <v>138358</v>
      </c>
      <c r="Q13" s="23">
        <f>Założenia!$E$213+Q14</f>
        <v>138358</v>
      </c>
      <c r="R13" s="23">
        <f>Założenia!$E$213+R14</f>
        <v>138358</v>
      </c>
      <c r="S13" s="23">
        <f>Założenia!$E$213+S14</f>
        <v>138358</v>
      </c>
      <c r="T13" s="23">
        <f>Założenia!$E$213+T14</f>
        <v>138358</v>
      </c>
    </row>
    <row r="14" spans="1:21" s="1" customFormat="1" ht="12">
      <c r="A14" s="96"/>
      <c r="B14" s="109" t="s">
        <v>228</v>
      </c>
      <c r="C14" s="214" t="s">
        <v>0</v>
      </c>
      <c r="D14" s="300"/>
      <c r="E14" s="23">
        <f>Założenia!D283*Założenia!D294*Założenia!$E$184*Założenia!$E$176*Założenia!$E$123</f>
        <v>0</v>
      </c>
      <c r="F14" s="23">
        <f>Założenia!E283*Założenia!E294*Założenia!$E$184*Założenia!$E$176*Założenia!$E$123</f>
        <v>0</v>
      </c>
      <c r="G14" s="23">
        <f>Założenia!F283*Założenia!F294*Założenia!$E$184*Założenia!$E$176*Założenia!$E$123</f>
        <v>0</v>
      </c>
      <c r="H14" s="23">
        <f>Założenia!G283*Założenia!G294*Założenia!$E$184*Założenia!$E$176*Założenia!$E$123</f>
        <v>0</v>
      </c>
      <c r="I14" s="23">
        <f>Założenia!H283*Założenia!H294*Założenia!$E$184*Założenia!$E$176*Założenia!$E$123</f>
        <v>0</v>
      </c>
      <c r="J14" s="23">
        <f>Założenia!I283*Założenia!I294*Założenia!$E$184*Założenia!$E$176*Założenia!$E$123</f>
        <v>0</v>
      </c>
      <c r="K14" s="23">
        <f>Założenia!J283*Założenia!J294*Założenia!$E$184*Założenia!$E$176*Założenia!$E$123</f>
        <v>0</v>
      </c>
      <c r="L14" s="23">
        <f>Założenia!K283*Założenia!K294*Założenia!$E$184*Założenia!$E$176*Założenia!$E$123</f>
        <v>0</v>
      </c>
      <c r="M14" s="23">
        <f>Założenia!L283*Założenia!L294*Założenia!$E$184*Założenia!$E$176*Założenia!$E$123</f>
        <v>0</v>
      </c>
      <c r="N14" s="23">
        <f>Założenia!M283*Założenia!M294*Założenia!$E$184*Założenia!$E$176*Założenia!$E$123</f>
        <v>0</v>
      </c>
      <c r="O14" s="23">
        <f>Założenia!N283*Założenia!N294*Założenia!$E$184*Założenia!$E$176*Założenia!$E$123</f>
        <v>0</v>
      </c>
      <c r="P14" s="23">
        <f>Założenia!O283*Założenia!O294*Założenia!$E$184*Założenia!$E$176*Założenia!$E$123</f>
        <v>0</v>
      </c>
      <c r="Q14" s="23">
        <f>Założenia!P283*Założenia!P294*Założenia!$E$184*Założenia!$E$176*Założenia!$E$123</f>
        <v>0</v>
      </c>
      <c r="R14" s="23">
        <f>Założenia!Q283*Założenia!Q294*Założenia!$E$184*Założenia!$E$176*Założenia!$E$123</f>
        <v>0</v>
      </c>
      <c r="S14" s="23">
        <f>Założenia!R283*Założenia!R294*Założenia!$E$184*Założenia!$E$176*Założenia!$E$123</f>
        <v>0</v>
      </c>
      <c r="T14" s="23">
        <f>Założenia!S283*Założenia!S294*Założenia!$E$184*Założenia!$E$176*Założenia!$E$123</f>
        <v>0</v>
      </c>
    </row>
    <row r="15" spans="1:21" s="1" customFormat="1" ht="12">
      <c r="A15" s="96" t="s">
        <v>57</v>
      </c>
      <c r="B15" s="109" t="s">
        <v>211</v>
      </c>
      <c r="C15" s="214" t="s">
        <v>0</v>
      </c>
      <c r="D15" s="300"/>
      <c r="E15" s="23">
        <f>E16</f>
        <v>1648868</v>
      </c>
      <c r="F15" s="23">
        <f t="shared" ref="F15:T15" si="5">F16</f>
        <v>1650230.5870784642</v>
      </c>
      <c r="G15" s="23">
        <f t="shared" si="5"/>
        <v>1650230.5870784642</v>
      </c>
      <c r="H15" s="23">
        <f t="shared" si="5"/>
        <v>1650230.5870784642</v>
      </c>
      <c r="I15" s="23">
        <f t="shared" si="5"/>
        <v>1650230.5870784642</v>
      </c>
      <c r="J15" s="23">
        <f t="shared" si="5"/>
        <v>1650230.5870784642</v>
      </c>
      <c r="K15" s="23">
        <f t="shared" si="5"/>
        <v>1650230.5870784642</v>
      </c>
      <c r="L15" s="23">
        <f t="shared" si="5"/>
        <v>1650230.5870784642</v>
      </c>
      <c r="M15" s="23">
        <f t="shared" si="5"/>
        <v>1650230.5870784642</v>
      </c>
      <c r="N15" s="23">
        <f t="shared" si="5"/>
        <v>1650230.5870784642</v>
      </c>
      <c r="O15" s="23">
        <f t="shared" si="5"/>
        <v>1650230.5870784642</v>
      </c>
      <c r="P15" s="23">
        <f t="shared" si="5"/>
        <v>1650230.5870784642</v>
      </c>
      <c r="Q15" s="23">
        <f t="shared" si="5"/>
        <v>1650230.5870784642</v>
      </c>
      <c r="R15" s="23">
        <f t="shared" si="5"/>
        <v>1650230.5870784642</v>
      </c>
      <c r="S15" s="23">
        <f t="shared" si="5"/>
        <v>1650230.5870784642</v>
      </c>
      <c r="T15" s="23">
        <f t="shared" si="5"/>
        <v>1650230.5870784642</v>
      </c>
    </row>
    <row r="16" spans="1:21" s="1" customFormat="1" ht="12">
      <c r="A16" s="96" t="s">
        <v>348</v>
      </c>
      <c r="B16" s="109" t="s">
        <v>343</v>
      </c>
      <c r="C16" s="214" t="s">
        <v>0</v>
      </c>
      <c r="D16" s="300"/>
      <c r="E16" s="23">
        <f>SUM(E17:E23)</f>
        <v>1648868</v>
      </c>
      <c r="F16" s="23">
        <f t="shared" ref="F16:T16" si="6">SUM(F17:F23)</f>
        <v>1650230.5870784642</v>
      </c>
      <c r="G16" s="23">
        <f t="shared" si="6"/>
        <v>1650230.5870784642</v>
      </c>
      <c r="H16" s="23">
        <f t="shared" si="6"/>
        <v>1650230.5870784642</v>
      </c>
      <c r="I16" s="23">
        <f t="shared" si="6"/>
        <v>1650230.5870784642</v>
      </c>
      <c r="J16" s="23">
        <f t="shared" si="6"/>
        <v>1650230.5870784642</v>
      </c>
      <c r="K16" s="23">
        <f t="shared" si="6"/>
        <v>1650230.5870784642</v>
      </c>
      <c r="L16" s="23">
        <f t="shared" si="6"/>
        <v>1650230.5870784642</v>
      </c>
      <c r="M16" s="23">
        <f t="shared" si="6"/>
        <v>1650230.5870784642</v>
      </c>
      <c r="N16" s="23">
        <f t="shared" si="6"/>
        <v>1650230.5870784642</v>
      </c>
      <c r="O16" s="23">
        <f t="shared" si="6"/>
        <v>1650230.5870784642</v>
      </c>
      <c r="P16" s="23">
        <f t="shared" si="6"/>
        <v>1650230.5870784642</v>
      </c>
      <c r="Q16" s="23">
        <f t="shared" si="6"/>
        <v>1650230.5870784642</v>
      </c>
      <c r="R16" s="23">
        <f t="shared" si="6"/>
        <v>1650230.5870784642</v>
      </c>
      <c r="S16" s="23">
        <f t="shared" si="6"/>
        <v>1650230.5870784642</v>
      </c>
      <c r="T16" s="23">
        <f t="shared" si="6"/>
        <v>1650230.5870784642</v>
      </c>
    </row>
    <row r="17" spans="1:20" s="1" customFormat="1" ht="12">
      <c r="A17" s="96"/>
      <c r="B17" s="109" t="s">
        <v>426</v>
      </c>
      <c r="C17" s="214" t="s">
        <v>0</v>
      </c>
      <c r="D17" s="300"/>
      <c r="E17" s="23">
        <f>(Założenia!D276*Założenia!D$292*Założenia!$G53/100)*Założenia!$E$175</f>
        <v>0</v>
      </c>
      <c r="F17" s="23">
        <f>(Założenia!E276*Założenia!E$292*Założenia!$G53/100)*Założenia!$E$175</f>
        <v>0</v>
      </c>
      <c r="G17" s="23">
        <f>(Założenia!F276*Założenia!F$292*Założenia!$G53/100)*Założenia!$E$175</f>
        <v>0</v>
      </c>
      <c r="H17" s="23">
        <f>(Założenia!G276*Założenia!G$292*Założenia!$G53/100)*Założenia!$E$175</f>
        <v>0</v>
      </c>
      <c r="I17" s="23">
        <f>(Założenia!H276*Założenia!H$292*Założenia!$G53/100)*Założenia!$E$175</f>
        <v>0</v>
      </c>
      <c r="J17" s="23">
        <f>(Założenia!I276*Założenia!I$292*Założenia!$G53/100)*Założenia!$E$175</f>
        <v>0</v>
      </c>
      <c r="K17" s="23">
        <f>(Założenia!J276*Założenia!J$292*Założenia!$G53/100)*Założenia!$E$175</f>
        <v>0</v>
      </c>
      <c r="L17" s="23">
        <f>(Założenia!K276*Założenia!K$292*Założenia!$G53/100)*Założenia!$E$175</f>
        <v>0</v>
      </c>
      <c r="M17" s="23">
        <f>(Założenia!L276*Założenia!L$292*Założenia!$G53/100)*Założenia!$E$175</f>
        <v>0</v>
      </c>
      <c r="N17" s="23">
        <f>(Założenia!M276*Założenia!M$292*Założenia!$G53/100)*Założenia!$E$175</f>
        <v>0</v>
      </c>
      <c r="O17" s="23">
        <f>(Założenia!N276*Założenia!N$292*Założenia!$G53/100)*Założenia!$E$175</f>
        <v>0</v>
      </c>
      <c r="P17" s="23">
        <f>(Założenia!O276*Założenia!O$292*Założenia!$G53/100)*Założenia!$E$175</f>
        <v>0</v>
      </c>
      <c r="Q17" s="23">
        <f>(Założenia!P276*Założenia!P$292*Założenia!$G53/100)*Założenia!$E$175</f>
        <v>0</v>
      </c>
      <c r="R17" s="23">
        <f>(Założenia!Q276*Założenia!Q$292*Założenia!$G53/100)*Założenia!$E$175</f>
        <v>0</v>
      </c>
      <c r="S17" s="23">
        <f>(Założenia!R276*Założenia!R$292*Założenia!$G53/100)*Założenia!$E$175</f>
        <v>0</v>
      </c>
      <c r="T17" s="23">
        <f>(Założenia!S276*Założenia!S$292*Założenia!$G53/100)*Założenia!$E$175</f>
        <v>0</v>
      </c>
    </row>
    <row r="18" spans="1:20" s="1" customFormat="1" ht="12">
      <c r="A18" s="96"/>
      <c r="B18" s="109" t="s">
        <v>432</v>
      </c>
      <c r="C18" s="214" t="s">
        <v>0</v>
      </c>
      <c r="D18" s="300"/>
      <c r="E18" s="23">
        <f>(Założenia!D277*Założenia!D$292*Założenia!$G54/100)*Założenia!$E$175</f>
        <v>0</v>
      </c>
      <c r="F18" s="23">
        <f>(Założenia!E277*Założenia!E$292*Założenia!$G54/100)*Założenia!$E$175</f>
        <v>0</v>
      </c>
      <c r="G18" s="23">
        <f>(Założenia!F277*Założenia!F$292*Założenia!$G54/100)*Założenia!$E$175</f>
        <v>0</v>
      </c>
      <c r="H18" s="23">
        <f>(Założenia!G277*Założenia!G$292*Założenia!$G54/100)*Założenia!$E$175</f>
        <v>0</v>
      </c>
      <c r="I18" s="23">
        <f>(Założenia!H277*Założenia!H$292*Założenia!$G54/100)*Założenia!$E$175</f>
        <v>0</v>
      </c>
      <c r="J18" s="23">
        <f>(Założenia!I277*Założenia!I$292*Założenia!$G54/100)*Założenia!$E$175</f>
        <v>0</v>
      </c>
      <c r="K18" s="23">
        <f>(Założenia!J277*Założenia!J$292*Założenia!$G54/100)*Założenia!$E$175</f>
        <v>0</v>
      </c>
      <c r="L18" s="23">
        <f>(Założenia!K277*Założenia!K$292*Założenia!$G54/100)*Założenia!$E$175</f>
        <v>0</v>
      </c>
      <c r="M18" s="23">
        <f>(Założenia!L277*Założenia!L$292*Założenia!$G54/100)*Założenia!$E$175</f>
        <v>0</v>
      </c>
      <c r="N18" s="23">
        <f>(Założenia!M277*Założenia!M$292*Założenia!$G54/100)*Założenia!$E$175</f>
        <v>0</v>
      </c>
      <c r="O18" s="23">
        <f>(Założenia!N277*Założenia!N$292*Założenia!$G54/100)*Założenia!$E$175</f>
        <v>0</v>
      </c>
      <c r="P18" s="23">
        <f>(Założenia!O277*Założenia!O$292*Założenia!$G54/100)*Założenia!$E$175</f>
        <v>0</v>
      </c>
      <c r="Q18" s="23">
        <f>(Założenia!P277*Założenia!P$292*Założenia!$G54/100)*Założenia!$E$175</f>
        <v>0</v>
      </c>
      <c r="R18" s="23">
        <f>(Założenia!Q277*Założenia!Q$292*Założenia!$G54/100)*Założenia!$E$175</f>
        <v>0</v>
      </c>
      <c r="S18" s="23">
        <f>(Założenia!R277*Założenia!R$292*Założenia!$G54/100)*Założenia!$E$175</f>
        <v>0</v>
      </c>
      <c r="T18" s="23">
        <f>(Założenia!S277*Założenia!S$292*Założenia!$G54/100)*Założenia!$E$175</f>
        <v>0</v>
      </c>
    </row>
    <row r="19" spans="1:20" s="1" customFormat="1" ht="12">
      <c r="A19" s="96"/>
      <c r="B19" s="109" t="s">
        <v>427</v>
      </c>
      <c r="C19" s="214" t="s">
        <v>0</v>
      </c>
      <c r="D19" s="300"/>
      <c r="E19" s="23">
        <f>(Założenia!D278*Założenia!D$292*Założenia!$G55/100)*Założenia!$E$175</f>
        <v>0</v>
      </c>
      <c r="F19" s="23">
        <f>(Założenia!E278*Założenia!E$292*Założenia!$G55/100)*Założenia!$E$175</f>
        <v>0</v>
      </c>
      <c r="G19" s="23">
        <f>(Założenia!F278*Założenia!F$292*Założenia!$G55/100)*Założenia!$E$175</f>
        <v>0</v>
      </c>
      <c r="H19" s="23">
        <f>(Założenia!G278*Założenia!G$292*Założenia!$G55/100)*Założenia!$E$175</f>
        <v>0</v>
      </c>
      <c r="I19" s="23">
        <f>(Założenia!H278*Założenia!H$292*Założenia!$G55/100)*Założenia!$E$175</f>
        <v>0</v>
      </c>
      <c r="J19" s="23">
        <f>(Założenia!I278*Założenia!I$292*Założenia!$G55/100)*Założenia!$E$175</f>
        <v>0</v>
      </c>
      <c r="K19" s="23">
        <f>(Założenia!J278*Założenia!J$292*Założenia!$G55/100)*Założenia!$E$175</f>
        <v>0</v>
      </c>
      <c r="L19" s="23">
        <f>(Założenia!K278*Założenia!K$292*Założenia!$G55/100)*Założenia!$E$175</f>
        <v>0</v>
      </c>
      <c r="M19" s="23">
        <f>(Założenia!L278*Założenia!L$292*Założenia!$G55/100)*Założenia!$E$175</f>
        <v>0</v>
      </c>
      <c r="N19" s="23">
        <f>(Założenia!M278*Założenia!M$292*Założenia!$G55/100)*Założenia!$E$175</f>
        <v>0</v>
      </c>
      <c r="O19" s="23">
        <f>(Założenia!N278*Założenia!N$292*Założenia!$G55/100)*Założenia!$E$175</f>
        <v>0</v>
      </c>
      <c r="P19" s="23">
        <f>(Założenia!O278*Założenia!O$292*Założenia!$G55/100)*Założenia!$E$175</f>
        <v>0</v>
      </c>
      <c r="Q19" s="23">
        <f>(Założenia!P278*Założenia!P$292*Założenia!$G55/100)*Założenia!$E$175</f>
        <v>0</v>
      </c>
      <c r="R19" s="23">
        <f>(Założenia!Q278*Założenia!Q$292*Założenia!$G55/100)*Założenia!$E$175</f>
        <v>0</v>
      </c>
      <c r="S19" s="23">
        <f>(Założenia!R278*Założenia!R$292*Założenia!$G55/100)*Założenia!$E$175</f>
        <v>0</v>
      </c>
      <c r="T19" s="23">
        <f>(Założenia!S278*Założenia!S$292*Założenia!$G55/100)*Założenia!$E$175</f>
        <v>0</v>
      </c>
    </row>
    <row r="20" spans="1:20" s="1" customFormat="1" ht="12">
      <c r="A20" s="96"/>
      <c r="B20" s="109" t="s">
        <v>428</v>
      </c>
      <c r="C20" s="214" t="s">
        <v>0</v>
      </c>
      <c r="D20" s="300"/>
      <c r="E20" s="23">
        <f>(Założenia!D279*Założenia!D$292*Założenia!$G56/100)*Założenia!$E$175</f>
        <v>0</v>
      </c>
      <c r="F20" s="23">
        <f>(Założenia!E279*Założenia!E$292*Założenia!$G56/100)*Założenia!$E$175</f>
        <v>0</v>
      </c>
      <c r="G20" s="23">
        <f>(Założenia!F279*Założenia!F$292*Założenia!$G56/100)*Założenia!$E$175</f>
        <v>0</v>
      </c>
      <c r="H20" s="23">
        <f>(Założenia!G279*Założenia!G$292*Założenia!$G56/100)*Założenia!$E$175</f>
        <v>0</v>
      </c>
      <c r="I20" s="23">
        <f>(Założenia!H279*Założenia!H$292*Założenia!$G56/100)*Założenia!$E$175</f>
        <v>0</v>
      </c>
      <c r="J20" s="23">
        <f>(Założenia!I279*Założenia!I$292*Założenia!$G56/100)*Założenia!$E$175</f>
        <v>0</v>
      </c>
      <c r="K20" s="23">
        <f>(Założenia!J279*Założenia!J$292*Założenia!$G56/100)*Założenia!$E$175</f>
        <v>0</v>
      </c>
      <c r="L20" s="23">
        <f>(Założenia!K279*Założenia!K$292*Założenia!$G56/100)*Założenia!$E$175</f>
        <v>0</v>
      </c>
      <c r="M20" s="23">
        <f>(Założenia!L279*Założenia!L$292*Założenia!$G56/100)*Założenia!$E$175</f>
        <v>0</v>
      </c>
      <c r="N20" s="23">
        <f>(Założenia!M279*Założenia!M$292*Założenia!$G56/100)*Założenia!$E$175</f>
        <v>0</v>
      </c>
      <c r="O20" s="23">
        <f>(Założenia!N279*Założenia!N$292*Założenia!$G56/100)*Założenia!$E$175</f>
        <v>0</v>
      </c>
      <c r="P20" s="23">
        <f>(Założenia!O279*Założenia!O$292*Założenia!$G56/100)*Założenia!$E$175</f>
        <v>0</v>
      </c>
      <c r="Q20" s="23">
        <f>(Założenia!P279*Założenia!P$292*Założenia!$G56/100)*Założenia!$E$175</f>
        <v>0</v>
      </c>
      <c r="R20" s="23">
        <f>(Założenia!Q279*Założenia!Q$292*Założenia!$G56/100)*Założenia!$E$175</f>
        <v>0</v>
      </c>
      <c r="S20" s="23">
        <f>(Założenia!R279*Założenia!R$292*Założenia!$G56/100)*Założenia!$E$175</f>
        <v>0</v>
      </c>
      <c r="T20" s="23">
        <f>(Założenia!S279*Założenia!S$292*Założenia!$G56/100)*Założenia!$E$175</f>
        <v>0</v>
      </c>
    </row>
    <row r="21" spans="1:20" s="1" customFormat="1" ht="12">
      <c r="A21" s="96"/>
      <c r="B21" s="109" t="s">
        <v>429</v>
      </c>
      <c r="C21" s="214" t="s">
        <v>0</v>
      </c>
      <c r="D21" s="300"/>
      <c r="E21" s="23">
        <f>(Założenia!D280*Założenia!D$292*Założenia!$G57/100)*Założenia!$E$175</f>
        <v>0</v>
      </c>
      <c r="F21" s="23">
        <f>(Założenia!E280*Założenia!E$292*Założenia!$G57/100)*Założenia!$E$175</f>
        <v>0</v>
      </c>
      <c r="G21" s="23">
        <f>(Założenia!F280*Założenia!F$292*Założenia!$G57/100)*Założenia!$E$175</f>
        <v>0</v>
      </c>
      <c r="H21" s="23">
        <f>(Założenia!G280*Założenia!G$292*Założenia!$G57/100)*Założenia!$E$175</f>
        <v>0</v>
      </c>
      <c r="I21" s="23">
        <f>(Założenia!H280*Założenia!H$292*Założenia!$G57/100)*Założenia!$E$175</f>
        <v>0</v>
      </c>
      <c r="J21" s="23">
        <f>(Założenia!I280*Założenia!I$292*Założenia!$G57/100)*Założenia!$E$175</f>
        <v>0</v>
      </c>
      <c r="K21" s="23">
        <f>(Założenia!J280*Założenia!J$292*Założenia!$G57/100)*Założenia!$E$175</f>
        <v>0</v>
      </c>
      <c r="L21" s="23">
        <f>(Założenia!K280*Założenia!K$292*Założenia!$G57/100)*Założenia!$E$175</f>
        <v>0</v>
      </c>
      <c r="M21" s="23">
        <f>(Założenia!L280*Założenia!L$292*Założenia!$G57/100)*Założenia!$E$175</f>
        <v>0</v>
      </c>
      <c r="N21" s="23">
        <f>(Założenia!M280*Założenia!M$292*Założenia!$G57/100)*Założenia!$E$175</f>
        <v>0</v>
      </c>
      <c r="O21" s="23">
        <f>(Założenia!N280*Założenia!N$292*Założenia!$G57/100)*Założenia!$E$175</f>
        <v>0</v>
      </c>
      <c r="P21" s="23">
        <f>(Założenia!O280*Założenia!O$292*Założenia!$G57/100)*Założenia!$E$175</f>
        <v>0</v>
      </c>
      <c r="Q21" s="23">
        <f>(Założenia!P280*Założenia!P$292*Założenia!$G57/100)*Założenia!$E$175</f>
        <v>0</v>
      </c>
      <c r="R21" s="23">
        <f>(Założenia!Q280*Założenia!Q$292*Założenia!$G57/100)*Założenia!$E$175</f>
        <v>0</v>
      </c>
      <c r="S21" s="23">
        <f>(Założenia!R280*Założenia!R$292*Założenia!$G57/100)*Założenia!$E$175</f>
        <v>0</v>
      </c>
      <c r="T21" s="23">
        <f>(Założenia!S280*Założenia!S$292*Założenia!$G57/100)*Założenia!$E$175</f>
        <v>0</v>
      </c>
    </row>
    <row r="22" spans="1:20" s="1" customFormat="1" ht="12">
      <c r="A22" s="96"/>
      <c r="B22" s="109" t="s">
        <v>430</v>
      </c>
      <c r="C22" s="214" t="s">
        <v>0</v>
      </c>
      <c r="D22" s="300"/>
      <c r="E22" s="23">
        <f>(Założenia!D281*Założenia!D$292*Założenia!$G58/100)*Założenia!$E$175+(Założenia!D273*Założenia!D291*Założenia!$E$58/100)*Założenia!$E$175</f>
        <v>1648868</v>
      </c>
      <c r="F22" s="23">
        <f>(Założenia!E281*Założenia!E$292*Założenia!$G58/100)*Założenia!$E$175+(Założenia!E273*Założenia!E291*Założenia!$E$58/100)*Założenia!$E$175</f>
        <v>1650230.5870784642</v>
      </c>
      <c r="G22" s="23">
        <f>(Założenia!F281*Założenia!F$292*Założenia!$G58/100)*Założenia!$E$175+(Założenia!F273*Założenia!F291*Założenia!$E$58/100)*Założenia!$E$175</f>
        <v>1650230.5870784642</v>
      </c>
      <c r="H22" s="23">
        <f>(Założenia!G281*Założenia!G$292*Założenia!$G58/100)*Założenia!$E$175+(Założenia!G273*Założenia!G291*Założenia!$E$58/100)*Założenia!$E$175</f>
        <v>1650230.5870784642</v>
      </c>
      <c r="I22" s="23">
        <f>(Założenia!H281*Założenia!H$292*Założenia!$G58/100)*Założenia!$E$175+(Założenia!H273*Założenia!H291*Założenia!$E$58/100)*Założenia!$E$175</f>
        <v>1650230.5870784642</v>
      </c>
      <c r="J22" s="23">
        <f>(Założenia!I281*Założenia!I$292*Założenia!$G58/100)*Założenia!$E$175+(Założenia!I273*Założenia!I291*Założenia!$E$58/100)*Założenia!$E$175</f>
        <v>1650230.5870784642</v>
      </c>
      <c r="K22" s="23">
        <f>(Założenia!J281*Założenia!J$292*Założenia!$G58/100)*Założenia!$E$175+(Założenia!J273*Założenia!J291*Założenia!$E$58/100)*Założenia!$E$175</f>
        <v>1650230.5870784642</v>
      </c>
      <c r="L22" s="23">
        <f>(Założenia!K281*Założenia!K$292*Założenia!$G58/100)*Założenia!$E$175+(Założenia!K273*Założenia!K291*Założenia!$E$58/100)*Założenia!$E$175</f>
        <v>1650230.5870784642</v>
      </c>
      <c r="M22" s="23">
        <f>(Założenia!L281*Założenia!L$292*Założenia!$G58/100)*Założenia!$E$175+(Założenia!L273*Założenia!L291*Założenia!$E$58/100)*Założenia!$E$175</f>
        <v>1650230.5870784642</v>
      </c>
      <c r="N22" s="23">
        <f>(Założenia!M281*Założenia!M$292*Założenia!$G58/100)*Założenia!$E$175+(Założenia!M273*Założenia!M291*Założenia!$E$58/100)*Założenia!$E$175</f>
        <v>1650230.5870784642</v>
      </c>
      <c r="O22" s="23">
        <f>(Założenia!N281*Założenia!N$292*Założenia!$G58/100)*Założenia!$E$175+(Założenia!N273*Założenia!N291*Założenia!$E$58/100)*Założenia!$E$175</f>
        <v>1650230.5870784642</v>
      </c>
      <c r="P22" s="23">
        <f>(Założenia!O281*Założenia!O$292*Założenia!$G58/100)*Założenia!$E$175+(Założenia!O273*Założenia!O291*Założenia!$E$58/100)*Założenia!$E$175</f>
        <v>1650230.5870784642</v>
      </c>
      <c r="Q22" s="23">
        <f>(Założenia!P281*Założenia!P$292*Założenia!$G58/100)*Założenia!$E$175+(Założenia!P273*Założenia!P291*Założenia!$E$58/100)*Założenia!$E$175</f>
        <v>1650230.5870784642</v>
      </c>
      <c r="R22" s="23">
        <f>(Założenia!Q281*Założenia!Q$292*Założenia!$G58/100)*Założenia!$E$175+(Założenia!Q273*Założenia!Q291*Założenia!$E$58/100)*Założenia!$E$175</f>
        <v>1650230.5870784642</v>
      </c>
      <c r="S22" s="23">
        <f>(Założenia!R281*Założenia!R$292*Założenia!$G58/100)*Założenia!$E$175+(Założenia!R273*Założenia!R291*Założenia!$E$58/100)*Założenia!$E$175</f>
        <v>1650230.5870784642</v>
      </c>
      <c r="T22" s="23">
        <f>(Założenia!S281*Założenia!S$292*Założenia!$G58/100)*Założenia!$E$175+(Założenia!S273*Założenia!S291*Założenia!$E$58/100)*Założenia!$E$175</f>
        <v>1650230.5870784642</v>
      </c>
    </row>
    <row r="23" spans="1:20" s="1" customFormat="1" ht="12">
      <c r="A23" s="96"/>
      <c r="B23" s="109" t="s">
        <v>431</v>
      </c>
      <c r="C23" s="214" t="s">
        <v>0</v>
      </c>
      <c r="D23" s="300"/>
      <c r="E23" s="23">
        <f>(Założenia!D282*Założenia!D$293*Założenia!$G$59/100)*Założenia!$E$175</f>
        <v>0</v>
      </c>
      <c r="F23" s="23">
        <f>(Założenia!E282*Założenia!E$293*Założenia!$G$59/100)*Założenia!$E$175</f>
        <v>0</v>
      </c>
      <c r="G23" s="23">
        <f>(Założenia!F282*Założenia!F$293*Założenia!$G$59/100)*Założenia!$E$175</f>
        <v>0</v>
      </c>
      <c r="H23" s="23">
        <f>(Założenia!G282*Założenia!G$293*Założenia!$G$59/100)*Założenia!$E$175</f>
        <v>0</v>
      </c>
      <c r="I23" s="23">
        <f>(Założenia!H282*Założenia!H$293*Założenia!$G$59/100)*Założenia!$E$175</f>
        <v>0</v>
      </c>
      <c r="J23" s="23">
        <f>(Założenia!I282*Założenia!I$293*Założenia!$G$59/100)*Założenia!$E$175</f>
        <v>0</v>
      </c>
      <c r="K23" s="23">
        <f>(Założenia!J282*Założenia!J$293*Założenia!$G$59/100)*Założenia!$E$175</f>
        <v>0</v>
      </c>
      <c r="L23" s="23">
        <f>(Założenia!K282*Założenia!K$293*Założenia!$G$59/100)*Założenia!$E$175</f>
        <v>0</v>
      </c>
      <c r="M23" s="23">
        <f>(Założenia!L282*Założenia!L$293*Założenia!$G$59/100)*Założenia!$E$175</f>
        <v>0</v>
      </c>
      <c r="N23" s="23">
        <f>(Założenia!M282*Założenia!M$293*Założenia!$G$59/100)*Założenia!$E$175</f>
        <v>0</v>
      </c>
      <c r="O23" s="23">
        <f>(Założenia!N282*Założenia!N$293*Założenia!$G$59/100)*Założenia!$E$175</f>
        <v>0</v>
      </c>
      <c r="P23" s="23">
        <f>(Założenia!O282*Założenia!O$293*Założenia!$G$59/100)*Założenia!$E$175</f>
        <v>0</v>
      </c>
      <c r="Q23" s="23">
        <f>(Założenia!P282*Założenia!P$293*Założenia!$G$59/100)*Założenia!$E$175</f>
        <v>0</v>
      </c>
      <c r="R23" s="23">
        <f>(Założenia!Q282*Założenia!Q$293*Założenia!$G$59/100)*Założenia!$E$175</f>
        <v>0</v>
      </c>
      <c r="S23" s="23">
        <f>(Założenia!R282*Założenia!R$293*Założenia!$G$59/100)*Założenia!$E$175</f>
        <v>0</v>
      </c>
      <c r="T23" s="23">
        <f>(Założenia!S282*Założenia!S$293*Założenia!$G$59/100)*Założenia!$E$175</f>
        <v>0</v>
      </c>
    </row>
    <row r="24" spans="1:20" s="1" customFormat="1" ht="12">
      <c r="A24" s="96" t="s">
        <v>160</v>
      </c>
      <c r="B24" s="109" t="s">
        <v>275</v>
      </c>
      <c r="C24" s="214" t="s">
        <v>0</v>
      </c>
      <c r="D24" s="300"/>
      <c r="E24" s="23">
        <f>(E25++E32)*(1+(Założenia!D295-Założenia!$D$295)*Założenia!$E$182)</f>
        <v>423621.26932714082</v>
      </c>
      <c r="F24" s="23">
        <f>(F25++F32)*(1+(Założenia!E295-Założenia!$D$295)*Założenia!$E$182)</f>
        <v>445169.90734230058</v>
      </c>
      <c r="G24" s="23">
        <f>(G25++G32)*(1+(Założenia!F295-Założenia!$D$295)*Założenia!$E$182)</f>
        <v>466368.47435860062</v>
      </c>
      <c r="H24" s="23">
        <f>(H25++H32)*(1+(Założenia!G295-Założenia!$D$295)*Założenia!$E$182)</f>
        <v>487567.04137490055</v>
      </c>
      <c r="I24" s="23">
        <f>(I25++I32)*(1+(Założenia!H295-Założenia!$D$295)*Założenia!$E$182)</f>
        <v>508765.6083912006</v>
      </c>
      <c r="J24" s="23">
        <f>(J25++J32)*(1+(Założenia!I295-Założenia!$D$295)*Założenia!$E$182)</f>
        <v>529964.1754075007</v>
      </c>
      <c r="K24" s="23">
        <f>(K25++K32)*(1+(Założenia!J295-Założenia!$D$295)*Założenia!$E$182)</f>
        <v>551162.74242380075</v>
      </c>
      <c r="L24" s="23">
        <f>(L25++L32)*(1+(Założenia!K295-Założenia!$D$295)*Założenia!$E$182)</f>
        <v>443618.79268257128</v>
      </c>
      <c r="M24" s="23">
        <f>(M25++M32)*(1+(Założenia!L295-Założenia!$D$295)*Założenia!$E$182)</f>
        <v>464817.35969887133</v>
      </c>
      <c r="N24" s="23">
        <f>(N25++N32)*(1+(Założenia!M295-Założenia!$D$295)*Założenia!$E$182)</f>
        <v>486015.92671517131</v>
      </c>
      <c r="O24" s="23">
        <f>(O25++O32)*(1+(Założenia!N295-Założenia!$D$295)*Założenia!$E$182)</f>
        <v>507214.49373147136</v>
      </c>
      <c r="P24" s="23">
        <f>(P25++P32)*(1+(Założenia!O295-Założenia!$D$295)*Założenia!$E$182)</f>
        <v>528413.06074777141</v>
      </c>
      <c r="Q24" s="23">
        <f>(Q25++Q32)*(1+(Założenia!P295-Założenia!$D$295)*Założenia!$E$182)</f>
        <v>549611.62776407145</v>
      </c>
      <c r="R24" s="23">
        <f>(R25++R32)*(1+(Założenia!Q295-Założenia!$D$295)*Założenia!$E$182)</f>
        <v>570810.1947803715</v>
      </c>
      <c r="S24" s="23">
        <f>(S25++S32)*(1+(Założenia!R295-Założenia!$D$295)*Założenia!$E$182)</f>
        <v>592008.76179667155</v>
      </c>
      <c r="T24" s="23">
        <f>(T25++T32)*(1+(Założenia!S295-Założenia!$D$295)*Założenia!$E$182)</f>
        <v>443618.79268257128</v>
      </c>
    </row>
    <row r="25" spans="1:20" s="1" customFormat="1" ht="12">
      <c r="A25" s="96"/>
      <c r="B25" s="109" t="s">
        <v>343</v>
      </c>
      <c r="C25" s="214" t="s">
        <v>0</v>
      </c>
      <c r="D25" s="300"/>
      <c r="E25" s="23">
        <f>SUM(E26:E31)</f>
        <v>423621.26932714082</v>
      </c>
      <c r="F25" s="23">
        <f t="shared" ref="F25:T25" si="7">SUM(F26:F31)</f>
        <v>423971.34032600053</v>
      </c>
      <c r="G25" s="23">
        <f t="shared" si="7"/>
        <v>423971.34032600053</v>
      </c>
      <c r="H25" s="23">
        <f t="shared" si="7"/>
        <v>423971.34032600053</v>
      </c>
      <c r="I25" s="23">
        <f t="shared" si="7"/>
        <v>423971.34032600053</v>
      </c>
      <c r="J25" s="23">
        <f t="shared" si="7"/>
        <v>423971.34032600053</v>
      </c>
      <c r="K25" s="23">
        <f t="shared" si="7"/>
        <v>423971.34032600053</v>
      </c>
      <c r="L25" s="23">
        <f t="shared" si="7"/>
        <v>423971.34032600053</v>
      </c>
      <c r="M25" s="23">
        <f t="shared" si="7"/>
        <v>423971.34032600053</v>
      </c>
      <c r="N25" s="23">
        <f t="shared" si="7"/>
        <v>423971.34032600053</v>
      </c>
      <c r="O25" s="23">
        <f t="shared" si="7"/>
        <v>423971.34032600053</v>
      </c>
      <c r="P25" s="23">
        <f t="shared" si="7"/>
        <v>423971.34032600053</v>
      </c>
      <c r="Q25" s="23">
        <f t="shared" si="7"/>
        <v>423971.34032600053</v>
      </c>
      <c r="R25" s="23">
        <f t="shared" si="7"/>
        <v>423971.34032600053</v>
      </c>
      <c r="S25" s="23">
        <f t="shared" si="7"/>
        <v>423971.34032600053</v>
      </c>
      <c r="T25" s="23">
        <f t="shared" si="7"/>
        <v>423971.34032600053</v>
      </c>
    </row>
    <row r="26" spans="1:20" s="1" customFormat="1" ht="12">
      <c r="A26" s="96"/>
      <c r="B26" s="109" t="s">
        <v>426</v>
      </c>
      <c r="C26" s="214" t="s">
        <v>0</v>
      </c>
      <c r="D26" s="300"/>
      <c r="E26" s="23">
        <f>(Założenia!D276*Założenia!D$292)*Założenia!$E$177</f>
        <v>0</v>
      </c>
      <c r="F26" s="23">
        <f>(Założenia!E276*Założenia!E$292)*Założenia!$E$177</f>
        <v>0</v>
      </c>
      <c r="G26" s="23">
        <f>(Założenia!F276*Założenia!F$292)*Założenia!$E$177</f>
        <v>0</v>
      </c>
      <c r="H26" s="23">
        <f>(Założenia!G276*Założenia!G$292)*Założenia!$E$177</f>
        <v>0</v>
      </c>
      <c r="I26" s="23">
        <f>(Założenia!H276*Założenia!H$292)*Założenia!$E$177</f>
        <v>0</v>
      </c>
      <c r="J26" s="23">
        <f>(Założenia!I276*Założenia!I$292)*Założenia!$E$177</f>
        <v>0</v>
      </c>
      <c r="K26" s="23">
        <f>(Założenia!J276*Założenia!J$292)*Założenia!$E$177</f>
        <v>0</v>
      </c>
      <c r="L26" s="23">
        <f>(Założenia!K276*Założenia!K$292)*Założenia!$E$177</f>
        <v>0</v>
      </c>
      <c r="M26" s="23">
        <f>(Założenia!L276*Założenia!L$292)*Założenia!$E$177</f>
        <v>0</v>
      </c>
      <c r="N26" s="23">
        <f>(Założenia!M276*Założenia!M$292)*Założenia!$E$177</f>
        <v>0</v>
      </c>
      <c r="O26" s="23">
        <f>(Założenia!N276*Założenia!N$292)*Założenia!$E$177</f>
        <v>0</v>
      </c>
      <c r="P26" s="23">
        <f>(Założenia!O276*Założenia!O$292)*Założenia!$E$177</f>
        <v>0</v>
      </c>
      <c r="Q26" s="23">
        <f>(Założenia!P276*Założenia!P$292)*Założenia!$E$177</f>
        <v>0</v>
      </c>
      <c r="R26" s="23">
        <f>(Założenia!Q276*Założenia!Q$292)*Założenia!$E$177</f>
        <v>0</v>
      </c>
      <c r="S26" s="23">
        <f>(Założenia!R276*Założenia!R$292)*Założenia!$E$177</f>
        <v>0</v>
      </c>
      <c r="T26" s="23">
        <f>(Założenia!S276*Założenia!S$292)*Założenia!$E$177</f>
        <v>0</v>
      </c>
    </row>
    <row r="27" spans="1:20" s="1" customFormat="1" ht="12">
      <c r="A27" s="96"/>
      <c r="B27" s="109" t="s">
        <v>432</v>
      </c>
      <c r="C27" s="214" t="s">
        <v>0</v>
      </c>
      <c r="D27" s="300"/>
      <c r="E27" s="23">
        <f>(Założenia!D277*Założenia!D$292)*Założenia!$E$177</f>
        <v>0</v>
      </c>
      <c r="F27" s="23">
        <f>(Założenia!E277*Założenia!E$292)*Założenia!$E$177</f>
        <v>0</v>
      </c>
      <c r="G27" s="23">
        <f>(Założenia!F277*Założenia!F$292)*Założenia!$E$177</f>
        <v>0</v>
      </c>
      <c r="H27" s="23">
        <f>(Założenia!G277*Założenia!G$292)*Założenia!$E$177</f>
        <v>0</v>
      </c>
      <c r="I27" s="23">
        <f>(Założenia!H277*Założenia!H$292)*Założenia!$E$177</f>
        <v>0</v>
      </c>
      <c r="J27" s="23">
        <f>(Założenia!I277*Założenia!I$292)*Założenia!$E$177</f>
        <v>0</v>
      </c>
      <c r="K27" s="23">
        <f>(Założenia!J277*Założenia!J$292)*Założenia!$E$177</f>
        <v>0</v>
      </c>
      <c r="L27" s="23">
        <f>(Założenia!K277*Założenia!K$292)*Założenia!$E$177</f>
        <v>0</v>
      </c>
      <c r="M27" s="23">
        <f>(Założenia!L277*Założenia!L$292)*Założenia!$E$177</f>
        <v>0</v>
      </c>
      <c r="N27" s="23">
        <f>(Założenia!M277*Założenia!M$292)*Założenia!$E$177</f>
        <v>0</v>
      </c>
      <c r="O27" s="23">
        <f>(Założenia!N277*Założenia!N$292)*Założenia!$E$177</f>
        <v>0</v>
      </c>
      <c r="P27" s="23">
        <f>(Założenia!O277*Założenia!O$292)*Założenia!$E$177</f>
        <v>0</v>
      </c>
      <c r="Q27" s="23">
        <f>(Założenia!P277*Założenia!P$292)*Założenia!$E$177</f>
        <v>0</v>
      </c>
      <c r="R27" s="23">
        <f>(Założenia!Q277*Założenia!Q$292)*Założenia!$E$177</f>
        <v>0</v>
      </c>
      <c r="S27" s="23">
        <f>(Założenia!R277*Założenia!R$292)*Założenia!$E$177</f>
        <v>0</v>
      </c>
      <c r="T27" s="23">
        <f>(Założenia!S277*Założenia!S$292)*Założenia!$E$177</f>
        <v>0</v>
      </c>
    </row>
    <row r="28" spans="1:20" s="1" customFormat="1" ht="12">
      <c r="A28" s="96"/>
      <c r="B28" s="109" t="s">
        <v>427</v>
      </c>
      <c r="C28" s="214" t="s">
        <v>0</v>
      </c>
      <c r="D28" s="300"/>
      <c r="E28" s="23">
        <f>(Założenia!D278*Założenia!D$292)*Założenia!$E$177</f>
        <v>0</v>
      </c>
      <c r="F28" s="23">
        <f>(Założenia!E278*Założenia!E$292)*Założenia!$E$177</f>
        <v>0</v>
      </c>
      <c r="G28" s="23">
        <f>(Założenia!F278*Założenia!F$292)*Założenia!$E$177</f>
        <v>0</v>
      </c>
      <c r="H28" s="23">
        <f>(Założenia!G278*Założenia!G$292)*Założenia!$E$177</f>
        <v>0</v>
      </c>
      <c r="I28" s="23">
        <f>(Założenia!H278*Założenia!H$292)*Założenia!$E$177</f>
        <v>0</v>
      </c>
      <c r="J28" s="23">
        <f>(Założenia!I278*Założenia!I$292)*Założenia!$E$177</f>
        <v>0</v>
      </c>
      <c r="K28" s="23">
        <f>(Założenia!J278*Założenia!J$292)*Założenia!$E$177</f>
        <v>0</v>
      </c>
      <c r="L28" s="23">
        <f>(Założenia!K278*Założenia!K$292)*Założenia!$E$177</f>
        <v>0</v>
      </c>
      <c r="M28" s="23">
        <f>(Założenia!L278*Założenia!L$292)*Założenia!$E$177</f>
        <v>0</v>
      </c>
      <c r="N28" s="23">
        <f>(Założenia!M278*Założenia!M$292)*Założenia!$E$177</f>
        <v>0</v>
      </c>
      <c r="O28" s="23">
        <f>(Założenia!N278*Założenia!N$292)*Założenia!$E$177</f>
        <v>0</v>
      </c>
      <c r="P28" s="23">
        <f>(Założenia!O278*Założenia!O$292)*Założenia!$E$177</f>
        <v>0</v>
      </c>
      <c r="Q28" s="23">
        <f>(Założenia!P278*Założenia!P$292)*Założenia!$E$177</f>
        <v>0</v>
      </c>
      <c r="R28" s="23">
        <f>(Założenia!Q278*Założenia!Q$292)*Założenia!$E$177</f>
        <v>0</v>
      </c>
      <c r="S28" s="23">
        <f>(Założenia!R278*Założenia!R$292)*Założenia!$E$177</f>
        <v>0</v>
      </c>
      <c r="T28" s="23">
        <f>(Założenia!S278*Założenia!S$292)*Założenia!$E$177</f>
        <v>0</v>
      </c>
    </row>
    <row r="29" spans="1:20" s="1" customFormat="1" ht="12">
      <c r="A29" s="96"/>
      <c r="B29" s="109" t="s">
        <v>428</v>
      </c>
      <c r="C29" s="214" t="s">
        <v>0</v>
      </c>
      <c r="D29" s="300"/>
      <c r="E29" s="23">
        <f>(Założenia!D279*Założenia!D$292)*Założenia!$E$177</f>
        <v>0</v>
      </c>
      <c r="F29" s="23">
        <f>(Założenia!E279*Założenia!E$292)*Założenia!$E$177</f>
        <v>0</v>
      </c>
      <c r="G29" s="23">
        <f>(Założenia!F279*Założenia!F$292)*Założenia!$E$177</f>
        <v>0</v>
      </c>
      <c r="H29" s="23">
        <f>(Założenia!G279*Założenia!G$292)*Założenia!$E$177</f>
        <v>0</v>
      </c>
      <c r="I29" s="23">
        <f>(Założenia!H279*Założenia!H$292)*Założenia!$E$177</f>
        <v>0</v>
      </c>
      <c r="J29" s="23">
        <f>(Założenia!I279*Założenia!I$292)*Założenia!$E$177</f>
        <v>0</v>
      </c>
      <c r="K29" s="23">
        <f>(Założenia!J279*Założenia!J$292)*Założenia!$E$177</f>
        <v>0</v>
      </c>
      <c r="L29" s="23">
        <f>(Założenia!K279*Założenia!K$292)*Założenia!$E$177</f>
        <v>0</v>
      </c>
      <c r="M29" s="23">
        <f>(Założenia!L279*Założenia!L$292)*Założenia!$E$177</f>
        <v>0</v>
      </c>
      <c r="N29" s="23">
        <f>(Założenia!M279*Założenia!M$292)*Założenia!$E$177</f>
        <v>0</v>
      </c>
      <c r="O29" s="23">
        <f>(Założenia!N279*Założenia!N$292)*Założenia!$E$177</f>
        <v>0</v>
      </c>
      <c r="P29" s="23">
        <f>(Założenia!O279*Założenia!O$292)*Założenia!$E$177</f>
        <v>0</v>
      </c>
      <c r="Q29" s="23">
        <f>(Założenia!P279*Założenia!P$292)*Założenia!$E$177</f>
        <v>0</v>
      </c>
      <c r="R29" s="23">
        <f>(Założenia!Q279*Założenia!Q$292)*Założenia!$E$177</f>
        <v>0</v>
      </c>
      <c r="S29" s="23">
        <f>(Założenia!R279*Założenia!R$292)*Założenia!$E$177</f>
        <v>0</v>
      </c>
      <c r="T29" s="23">
        <f>(Założenia!S279*Założenia!S$292)*Założenia!$E$177</f>
        <v>0</v>
      </c>
    </row>
    <row r="30" spans="1:20" s="1" customFormat="1" ht="12">
      <c r="A30" s="96"/>
      <c r="B30" s="109" t="s">
        <v>429</v>
      </c>
      <c r="C30" s="214" t="s">
        <v>0</v>
      </c>
      <c r="D30" s="300"/>
      <c r="E30" s="23">
        <f>(Założenia!D280*Założenia!D$292)*Założenia!$E$177</f>
        <v>0</v>
      </c>
      <c r="F30" s="23">
        <f>(Założenia!E280*Założenia!E$292)*Założenia!$E$177</f>
        <v>0</v>
      </c>
      <c r="G30" s="23">
        <f>(Założenia!F280*Założenia!F$292)*Założenia!$E$177</f>
        <v>0</v>
      </c>
      <c r="H30" s="23">
        <f>(Założenia!G280*Założenia!G$292)*Założenia!$E$177</f>
        <v>0</v>
      </c>
      <c r="I30" s="23">
        <f>(Założenia!H280*Założenia!H$292)*Założenia!$E$177</f>
        <v>0</v>
      </c>
      <c r="J30" s="23">
        <f>(Założenia!I280*Założenia!I$292)*Założenia!$E$177</f>
        <v>0</v>
      </c>
      <c r="K30" s="23">
        <f>(Założenia!J280*Założenia!J$292)*Założenia!$E$177</f>
        <v>0</v>
      </c>
      <c r="L30" s="23">
        <f>(Założenia!K280*Założenia!K$292)*Założenia!$E$177</f>
        <v>0</v>
      </c>
      <c r="M30" s="23">
        <f>(Założenia!L280*Założenia!L$292)*Założenia!$E$177</f>
        <v>0</v>
      </c>
      <c r="N30" s="23">
        <f>(Założenia!M280*Założenia!M$292)*Założenia!$E$177</f>
        <v>0</v>
      </c>
      <c r="O30" s="23">
        <f>(Założenia!N280*Założenia!N$292)*Założenia!$E$177</f>
        <v>0</v>
      </c>
      <c r="P30" s="23">
        <f>(Założenia!O280*Założenia!O$292)*Założenia!$E$177</f>
        <v>0</v>
      </c>
      <c r="Q30" s="23">
        <f>(Założenia!P280*Założenia!P$292)*Założenia!$E$177</f>
        <v>0</v>
      </c>
      <c r="R30" s="23">
        <f>(Założenia!Q280*Założenia!Q$292)*Założenia!$E$177</f>
        <v>0</v>
      </c>
      <c r="S30" s="23">
        <f>(Założenia!R280*Założenia!R$292)*Założenia!$E$177</f>
        <v>0</v>
      </c>
      <c r="T30" s="23">
        <f>(Założenia!S280*Założenia!S$292)*Założenia!$E$177</f>
        <v>0</v>
      </c>
    </row>
    <row r="31" spans="1:20" s="1" customFormat="1" ht="12">
      <c r="A31" s="96"/>
      <c r="B31" s="109" t="s">
        <v>433</v>
      </c>
      <c r="C31" s="214" t="s">
        <v>0</v>
      </c>
      <c r="D31" s="300"/>
      <c r="E31" s="23">
        <f>(Założenia!D281*Założenia!D292+Założenia!D282*Założenia!D293+Założenia!D273*Założenia!D291)*Założenia!$E$177</f>
        <v>423621.26932714082</v>
      </c>
      <c r="F31" s="23">
        <f>(Założenia!E281*Założenia!E292+Założenia!E282*Założenia!E293+Założenia!E273*Założenia!E291)*Założenia!$E$177</f>
        <v>423971.34032600053</v>
      </c>
      <c r="G31" s="23">
        <f>(Założenia!F281*Założenia!F292+Założenia!F282*Założenia!F293+Założenia!F273*Założenia!F291)*Założenia!$E$177</f>
        <v>423971.34032600053</v>
      </c>
      <c r="H31" s="23">
        <f>(Założenia!G281*Założenia!G292+Założenia!G282*Założenia!G293+Założenia!G273*Założenia!G291)*Założenia!$E$177</f>
        <v>423971.34032600053</v>
      </c>
      <c r="I31" s="23">
        <f>(Założenia!H281*Założenia!H292+Założenia!H282*Założenia!H293+Założenia!H273*Założenia!H291)*Założenia!$E$177</f>
        <v>423971.34032600053</v>
      </c>
      <c r="J31" s="23">
        <f>(Założenia!I281*Założenia!I292+Założenia!I282*Założenia!I293+Założenia!I273*Założenia!I291)*Założenia!$E$177</f>
        <v>423971.34032600053</v>
      </c>
      <c r="K31" s="23">
        <f>(Założenia!J281*Założenia!J292+Założenia!J282*Założenia!J293+Założenia!J273*Założenia!J291)*Założenia!$E$177</f>
        <v>423971.34032600053</v>
      </c>
      <c r="L31" s="23">
        <f>(Założenia!K281*Założenia!K292+Założenia!K282*Założenia!K293+Założenia!K273*Założenia!K291)*Założenia!$E$177</f>
        <v>423971.34032600053</v>
      </c>
      <c r="M31" s="23">
        <f>(Założenia!L281*Założenia!L292+Założenia!L282*Założenia!L293+Założenia!L273*Założenia!L291)*Założenia!$E$177</f>
        <v>423971.34032600053</v>
      </c>
      <c r="N31" s="23">
        <f>(Założenia!M281*Założenia!M292+Założenia!M282*Założenia!M293+Założenia!M273*Założenia!M291)*Założenia!$E$177</f>
        <v>423971.34032600053</v>
      </c>
      <c r="O31" s="23">
        <f>(Założenia!N281*Założenia!N292+Założenia!N282*Założenia!N293+Założenia!N273*Założenia!N291)*Założenia!$E$177</f>
        <v>423971.34032600053</v>
      </c>
      <c r="P31" s="23">
        <f>(Założenia!O281*Założenia!O292+Założenia!O282*Założenia!O293+Założenia!O273*Założenia!O291)*Założenia!$E$177</f>
        <v>423971.34032600053</v>
      </c>
      <c r="Q31" s="23">
        <f>(Założenia!P281*Założenia!P292+Założenia!P282*Założenia!P293+Założenia!P273*Założenia!P291)*Założenia!$E$177</f>
        <v>423971.34032600053</v>
      </c>
      <c r="R31" s="23">
        <f>(Założenia!Q281*Założenia!Q292+Założenia!Q282*Założenia!Q293+Założenia!Q273*Założenia!Q291)*Założenia!$E$177</f>
        <v>423971.34032600053</v>
      </c>
      <c r="S31" s="23">
        <f>(Założenia!R281*Założenia!R292+Założenia!R282*Założenia!R293+Założenia!R273*Założenia!R291)*Założenia!$E$177</f>
        <v>423971.34032600053</v>
      </c>
      <c r="T31" s="23">
        <f>(Założenia!S281*Założenia!S292+Założenia!S282*Założenia!S293+Założenia!S273*Założenia!S291)*Założenia!$E$177</f>
        <v>423971.34032600053</v>
      </c>
    </row>
    <row r="32" spans="1:20" s="1" customFormat="1" ht="12">
      <c r="A32" s="96"/>
      <c r="B32" s="109" t="s">
        <v>342</v>
      </c>
      <c r="C32" s="214" t="s">
        <v>0</v>
      </c>
      <c r="D32" s="300"/>
      <c r="E32" s="23">
        <f>Założenia!D283*Założenia!D294*Założenia!$E$177*Założenia!$E$180</f>
        <v>0</v>
      </c>
      <c r="F32" s="23">
        <f>Założenia!E283*Założenia!E294*Założenia!$E$177*Założenia!$E$180</f>
        <v>0</v>
      </c>
      <c r="G32" s="23">
        <f>Założenia!F283*Założenia!F294*Założenia!$E$177*Założenia!$E$180</f>
        <v>0</v>
      </c>
      <c r="H32" s="23">
        <f>Założenia!G283*Założenia!G294*Założenia!$E$177*Założenia!$E$180</f>
        <v>0</v>
      </c>
      <c r="I32" s="23">
        <f>Założenia!H283*Założenia!H294*Założenia!$E$177*Założenia!$E$180</f>
        <v>0</v>
      </c>
      <c r="J32" s="23">
        <f>Założenia!I283*Założenia!I294*Założenia!$E$177*Założenia!$E$180</f>
        <v>0</v>
      </c>
      <c r="K32" s="23">
        <f>Założenia!J283*Założenia!J294*Założenia!$E$177*Założenia!$E$180</f>
        <v>0</v>
      </c>
      <c r="L32" s="23">
        <f>Założenia!K283*Założenia!K294*Założenia!$E$177*Założenia!$E$180</f>
        <v>0</v>
      </c>
      <c r="M32" s="23">
        <f>Założenia!L283*Założenia!L294*Założenia!$E$177*Założenia!$E$180</f>
        <v>0</v>
      </c>
      <c r="N32" s="23">
        <f>Założenia!M283*Założenia!M294*Założenia!$E$177*Założenia!$E$180</f>
        <v>0</v>
      </c>
      <c r="O32" s="23">
        <f>Założenia!N283*Założenia!N294*Założenia!$E$177*Założenia!$E$180</f>
        <v>0</v>
      </c>
      <c r="P32" s="23">
        <f>Założenia!O283*Założenia!O294*Założenia!$E$177*Założenia!$E$180</f>
        <v>0</v>
      </c>
      <c r="Q32" s="23">
        <f>Założenia!P283*Założenia!P294*Założenia!$E$177*Założenia!$E$180</f>
        <v>0</v>
      </c>
      <c r="R32" s="23">
        <f>Założenia!Q283*Założenia!Q294*Założenia!$E$177*Założenia!$E$180</f>
        <v>0</v>
      </c>
      <c r="S32" s="23">
        <f>Założenia!R283*Założenia!R294*Założenia!$E$177*Założenia!$E$180</f>
        <v>0</v>
      </c>
      <c r="T32" s="23">
        <f>Założenia!S283*Założenia!S294*Założenia!$E$177*Założenia!$E$180</f>
        <v>0</v>
      </c>
    </row>
    <row r="33" spans="1:21" s="13" customFormat="1" ht="12">
      <c r="A33" s="108" t="s">
        <v>50</v>
      </c>
      <c r="B33" s="118" t="s">
        <v>7</v>
      </c>
      <c r="C33" s="301" t="s">
        <v>0</v>
      </c>
      <c r="D33" s="302"/>
      <c r="E33" s="22">
        <f>((SUM(Założenia!D276:D280)*Założenia!D292)*Założenia!$E$178+(Założenia!D281*Założenia!D292+Założenia!D282*Założenia!D293+Założenia!D273*Założenia!D291)*Założenia!$E$178+(Założenia!D283*Założenia!D294)*Założenia!$E$178*Założenia!$E$180)*(1+(Założenia!D295-Założenia!$D$295)*Założenia!$E$182)+Opcje!E44*Założenia!$E$197+Opcje!E45*Założenia!$E$196</f>
        <v>681335.37557993992</v>
      </c>
      <c r="F33" s="22">
        <f>((SUM(Założenia!E276:E280)*Założenia!E292)*Założenia!$E$178+(Założenia!E281*Założenia!E292+Założenia!E282*Założenia!E293+Założenia!E273*Założenia!E291)*Założenia!$E$178+(Założenia!E283*Założenia!E294)*Założenia!$E$178*Założenia!$E$180)*(1+(Założenia!E295-Założenia!$D$295)*Założenia!$E$182)+Opcje!F44*Założenia!$E$197+Opcje!F45*Założenia!$E$196</f>
        <v>715993.33644818177</v>
      </c>
      <c r="G33" s="22">
        <f>((SUM(Założenia!F276:F280)*Założenia!F292)*Założenia!$E$178+(Założenia!F281*Założenia!F292+Założenia!F282*Założenia!F293+Założenia!F273*Założenia!F291)*Założenia!$E$178+(Założenia!F283*Założenia!F294)*Założenia!$E$178*Założenia!$E$180)*(1+(Założenia!F295-Założenia!$D$295)*Założenia!$E$182)+Opcje!G44*Założenia!$E$197+Opcje!G45*Założenia!$E$196</f>
        <v>750088.25723142864</v>
      </c>
      <c r="H33" s="22">
        <f>((SUM(Założenia!G276:G280)*Założenia!G292)*Założenia!$E$178+(Założenia!G281*Założenia!G292+Założenia!G282*Założenia!G293+Założenia!G273*Założenia!G291)*Założenia!$E$178+(Założenia!G283*Założenia!G294)*Założenia!$E$178*Założenia!$E$180)*(1+(Założenia!G295-Założenia!$D$295)*Założenia!$E$182)+Opcje!H44*Założenia!$E$197+Opcje!H45*Założenia!$E$196</f>
        <v>784183.17801467516</v>
      </c>
      <c r="I33" s="22">
        <f>((SUM(Założenia!H276:H280)*Założenia!H292)*Założenia!$E$178+(Założenia!H281*Założenia!H292+Założenia!H282*Założenia!H293+Założenia!H273*Założenia!H291)*Założenia!$E$178+(Założenia!H283*Założenia!H294)*Założenia!$E$178*Założenia!$E$180)*(1+(Założenia!H295-Założenia!$D$295)*Założenia!$E$182)+Opcje!I44*Założenia!$E$197+Opcje!I45*Założenia!$E$196</f>
        <v>818278.09879792202</v>
      </c>
      <c r="J33" s="22">
        <f>((SUM(Założenia!I276:I280)*Założenia!I292)*Założenia!$E$178+(Założenia!I281*Założenia!I292+Założenia!I282*Założenia!I293+Założenia!I273*Założenia!I291)*Założenia!$E$178+(Założenia!I283*Założenia!I294)*Założenia!$E$178*Założenia!$E$180)*(1+(Założenia!I295-Założenia!$D$295)*Założenia!$E$182)+Opcje!J44*Założenia!$E$197+Opcje!J45*Założenia!$E$196</f>
        <v>852373.01958116877</v>
      </c>
      <c r="K33" s="22">
        <f>((SUM(Założenia!J276:J280)*Założenia!J292)*Założenia!$E$178+(Założenia!J281*Założenia!J292+Założenia!J282*Założenia!J293+Założenia!J273*Założenia!J291)*Założenia!$E$178+(Założenia!J283*Założenia!J294)*Założenia!$E$178*Założenia!$E$180)*(1+(Założenia!J295-Założenia!$D$295)*Założenia!$E$182)+Opcje!K44*Założenia!$E$197+Opcje!K45*Założenia!$E$196</f>
        <v>886467.94036441552</v>
      </c>
      <c r="L33" s="22">
        <f>((SUM(Założenia!K276:K280)*Założenia!K292)*Założenia!$E$178+(Założenia!K281*Założenia!K292+Założenia!K282*Założenia!K293+Założenia!K273*Założenia!K291)*Założenia!$E$178+(Założenia!K283*Założenia!K294)*Założenia!$E$178*Założenia!$E$180)*(1+(Założenia!K295-Założenia!$D$295)*Założenia!$E$182)+Opcje!L44*Założenia!$E$197+Opcje!L45*Założenia!$E$196</f>
        <v>713498.58614696865</v>
      </c>
      <c r="M33" s="22">
        <f>((SUM(Założenia!L276:L280)*Założenia!L292)*Założenia!$E$178+(Założenia!L281*Założenia!L292+Założenia!L282*Założenia!L293+Założenia!L273*Założenia!L291)*Założenia!$E$178+(Założenia!L283*Założenia!L294)*Założenia!$E$178*Założenia!$E$180)*(1+(Założenia!L295-Założenia!$D$295)*Założenia!$E$182)+Opcje!M44*Założenia!$E$197+Opcje!M45*Założenia!$E$196</f>
        <v>747593.5069302154</v>
      </c>
      <c r="N33" s="22">
        <f>((SUM(Założenia!M276:M280)*Założenia!M292)*Założenia!$E$178+(Założenia!M281*Założenia!M292+Założenia!M282*Założenia!M293+Założenia!M273*Założenia!M291)*Założenia!$E$178+(Założenia!M283*Założenia!M294)*Założenia!$E$178*Założenia!$E$180)*(1+(Założenia!M295-Założenia!$D$295)*Założenia!$E$182)+Opcje!N44*Założenia!$E$197+Opcje!N45*Założenia!$E$196</f>
        <v>781688.42771346204</v>
      </c>
      <c r="O33" s="22">
        <f>((SUM(Założenia!N276:N280)*Założenia!N292)*Założenia!$E$178+(Założenia!N281*Założenia!N292+Założenia!N282*Założenia!N293+Założenia!N273*Założenia!N291)*Założenia!$E$178+(Założenia!N283*Założenia!N294)*Założenia!$E$178*Założenia!$E$180)*(1+(Założenia!N295-Założenia!$D$295)*Założenia!$E$182)+Opcje!O44*Założenia!$E$197+Opcje!O45*Założenia!$E$196</f>
        <v>815783.34849670879</v>
      </c>
      <c r="P33" s="22">
        <f>((SUM(Założenia!O276:O280)*Założenia!O292)*Założenia!$E$178+(Założenia!O281*Założenia!O292+Założenia!O282*Założenia!O293+Założenia!O273*Założenia!O291)*Założenia!$E$178+(Założenia!O283*Założenia!O294)*Założenia!$E$178*Założenia!$E$180)*(1+(Założenia!O295-Założenia!$D$295)*Założenia!$E$182)+Opcje!P44*Założenia!$E$197+Opcje!P45*Założenia!$E$196</f>
        <v>849878.26927995554</v>
      </c>
      <c r="Q33" s="22">
        <f>((SUM(Założenia!P276:P280)*Założenia!P292)*Założenia!$E$178+(Założenia!P281*Założenia!P292+Założenia!P282*Założenia!P293+Założenia!P273*Założenia!P291)*Założenia!$E$178+(Założenia!P283*Założenia!P294)*Założenia!$E$178*Założenia!$E$180)*(1+(Założenia!P295-Założenia!$D$295)*Założenia!$E$182)+Opcje!Q44*Założenia!$E$197+Opcje!Q45*Założenia!$E$196</f>
        <v>883973.1900632024</v>
      </c>
      <c r="R33" s="22">
        <f>((SUM(Założenia!Q276:Q280)*Założenia!Q292)*Założenia!$E$178+(Założenia!Q281*Założenia!Q292+Założenia!Q282*Założenia!Q293+Założenia!Q273*Założenia!Q291)*Założenia!$E$178+(Założenia!Q283*Założenia!Q294)*Założenia!$E$178*Założenia!$E$180)*(1+(Założenia!Q295-Założenia!$D$295)*Założenia!$E$182)+Opcje!R44*Założenia!$E$197+Opcje!R45*Założenia!$E$196</f>
        <v>918068.11084644916</v>
      </c>
      <c r="S33" s="22">
        <f>((SUM(Założenia!R276:R280)*Założenia!R292)*Założenia!$E$178+(Założenia!R281*Założenia!R292+Założenia!R282*Założenia!R293+Założenia!R273*Założenia!R291)*Założenia!$E$178+(Założenia!R283*Założenia!R294)*Założenia!$E$178*Założenia!$E$180)*(1+(Założenia!R295-Założenia!$D$295)*Założenia!$E$182)+Opcje!S44*Założenia!$E$197+Opcje!S45*Założenia!$E$196</f>
        <v>952163.03162969591</v>
      </c>
      <c r="T33" s="22">
        <f>((SUM(Założenia!S276:S280)*Założenia!S292)*Założenia!$E$178+(Założenia!S281*Założenia!S292+Założenia!S282*Założenia!S293+Założenia!S273*Założenia!S291)*Założenia!$E$178+(Założenia!S283*Założenia!S294)*Założenia!$E$178*Założenia!$E$180)*(1+(Założenia!S295-Założenia!$D$295)*Założenia!$E$182)+Opcje!T44*Założenia!$E$197+Opcje!T45*Założenia!$E$196</f>
        <v>713498.58614696865</v>
      </c>
    </row>
    <row r="34" spans="1:21" s="13" customFormat="1" ht="12">
      <c r="A34" s="108" t="s">
        <v>61</v>
      </c>
      <c r="B34" s="118" t="s">
        <v>8</v>
      </c>
      <c r="C34" s="301" t="s">
        <v>0</v>
      </c>
      <c r="D34" s="302"/>
      <c r="E34" s="22">
        <f>Założenia!$E$218</f>
        <v>337789.35039205936</v>
      </c>
      <c r="F34" s="22">
        <f>Założenia!$E$218</f>
        <v>337789.35039205936</v>
      </c>
      <c r="G34" s="22">
        <f>Założenia!$E$218</f>
        <v>337789.35039205936</v>
      </c>
      <c r="H34" s="22">
        <f>Założenia!$E$218</f>
        <v>337789.35039205936</v>
      </c>
      <c r="I34" s="22">
        <f>Założenia!$E$218</f>
        <v>337789.35039205936</v>
      </c>
      <c r="J34" s="22">
        <f>Założenia!$E$218</f>
        <v>337789.35039205936</v>
      </c>
      <c r="K34" s="22">
        <f>Założenia!$E$218</f>
        <v>337789.35039205936</v>
      </c>
      <c r="L34" s="22">
        <f>Założenia!$E$218</f>
        <v>337789.35039205936</v>
      </c>
      <c r="M34" s="22">
        <f>Założenia!$E$218</f>
        <v>337789.35039205936</v>
      </c>
      <c r="N34" s="22">
        <f>Założenia!$E$218</f>
        <v>337789.35039205936</v>
      </c>
      <c r="O34" s="22">
        <f>Założenia!$E$218</f>
        <v>337789.35039205936</v>
      </c>
      <c r="P34" s="22">
        <f>Założenia!$E$218</f>
        <v>337789.35039205936</v>
      </c>
      <c r="Q34" s="22">
        <f>Założenia!$E$218</f>
        <v>337789.35039205936</v>
      </c>
      <c r="R34" s="22">
        <f>Założenia!$E$218</f>
        <v>337789.35039205936</v>
      </c>
      <c r="S34" s="22">
        <f>Założenia!$E$218</f>
        <v>337789.35039205936</v>
      </c>
      <c r="T34" s="22">
        <f>Założenia!$E$218</f>
        <v>337789.35039205936</v>
      </c>
    </row>
    <row r="35" spans="1:21" s="13" customFormat="1" ht="12">
      <c r="A35" s="108" t="s">
        <v>69</v>
      </c>
      <c r="B35" s="166" t="s">
        <v>10</v>
      </c>
      <c r="C35" s="301" t="s">
        <v>0</v>
      </c>
      <c r="D35" s="302"/>
      <c r="E35" s="22">
        <f>Założenia!$E$209</f>
        <v>5097501.7389051178</v>
      </c>
      <c r="F35" s="22">
        <f>Założenia!$E$209</f>
        <v>5097501.7389051178</v>
      </c>
      <c r="G35" s="22">
        <f>Założenia!$E$209</f>
        <v>5097501.7389051178</v>
      </c>
      <c r="H35" s="22">
        <f>Założenia!$E$209</f>
        <v>5097501.7389051178</v>
      </c>
      <c r="I35" s="22">
        <f>Założenia!$E$209</f>
        <v>5097501.7389051178</v>
      </c>
      <c r="J35" s="22">
        <f>Założenia!$E$209</f>
        <v>5097501.7389051178</v>
      </c>
      <c r="K35" s="22">
        <f>Założenia!$E$209</f>
        <v>5097501.7389051178</v>
      </c>
      <c r="L35" s="22">
        <f>Założenia!$E$209</f>
        <v>5097501.7389051178</v>
      </c>
      <c r="M35" s="22">
        <f>Założenia!$E$209</f>
        <v>5097501.7389051178</v>
      </c>
      <c r="N35" s="22">
        <f>Założenia!$E$209</f>
        <v>5097501.7389051178</v>
      </c>
      <c r="O35" s="22">
        <f>Założenia!$E$209</f>
        <v>5097501.7389051178</v>
      </c>
      <c r="P35" s="22">
        <f>Założenia!$E$209</f>
        <v>5097501.7389051178</v>
      </c>
      <c r="Q35" s="22">
        <f>Założenia!$E$209</f>
        <v>5097501.7389051178</v>
      </c>
      <c r="R35" s="22">
        <f>Założenia!$E$209</f>
        <v>5097501.7389051178</v>
      </c>
      <c r="S35" s="22">
        <f>Założenia!$E$209</f>
        <v>5097501.7389051178</v>
      </c>
      <c r="T35" s="22">
        <f>Założenia!$E$209</f>
        <v>5097501.7389051178</v>
      </c>
    </row>
    <row r="36" spans="1:21" s="13" customFormat="1" ht="12">
      <c r="A36" s="108" t="s">
        <v>70</v>
      </c>
      <c r="B36" s="110" t="s">
        <v>464</v>
      </c>
      <c r="C36" s="301" t="s">
        <v>0</v>
      </c>
      <c r="D36" s="302"/>
      <c r="E36" s="22">
        <f>Założenia!$E$210</f>
        <v>1372905.9020110394</v>
      </c>
      <c r="F36" s="22">
        <f>Założenia!$E$210</f>
        <v>1372905.9020110394</v>
      </c>
      <c r="G36" s="22">
        <f>Założenia!$E$210</f>
        <v>1372905.9020110394</v>
      </c>
      <c r="H36" s="22">
        <f>Założenia!$E$210</f>
        <v>1372905.9020110394</v>
      </c>
      <c r="I36" s="22">
        <f>Założenia!$E$210</f>
        <v>1372905.9020110394</v>
      </c>
      <c r="J36" s="22">
        <f>Założenia!$E$210</f>
        <v>1372905.9020110394</v>
      </c>
      <c r="K36" s="22">
        <f>Założenia!$E$210</f>
        <v>1372905.9020110394</v>
      </c>
      <c r="L36" s="22">
        <f>Założenia!$E$210</f>
        <v>1372905.9020110394</v>
      </c>
      <c r="M36" s="22">
        <f>Założenia!$E$210</f>
        <v>1372905.9020110394</v>
      </c>
      <c r="N36" s="22">
        <f>Założenia!$E$210</f>
        <v>1372905.9020110394</v>
      </c>
      <c r="O36" s="22">
        <f>Założenia!$E$210</f>
        <v>1372905.9020110394</v>
      </c>
      <c r="P36" s="22">
        <f>Założenia!$E$210</f>
        <v>1372905.9020110394</v>
      </c>
      <c r="Q36" s="22">
        <f>Założenia!$E$210</f>
        <v>1372905.9020110394</v>
      </c>
      <c r="R36" s="22">
        <f>Założenia!$E$210</f>
        <v>1372905.9020110394</v>
      </c>
      <c r="S36" s="22">
        <f>Założenia!$E$210</f>
        <v>1372905.9020110394</v>
      </c>
      <c r="T36" s="22">
        <f>Założenia!$E$210</f>
        <v>1372905.9020110394</v>
      </c>
    </row>
    <row r="37" spans="1:21" s="33" customFormat="1" ht="12">
      <c r="A37" s="108" t="s">
        <v>79</v>
      </c>
      <c r="B37" s="167" t="s">
        <v>9</v>
      </c>
      <c r="C37" s="301" t="s">
        <v>0</v>
      </c>
      <c r="D37" s="302"/>
      <c r="E37" s="22">
        <f>E38+E39</f>
        <v>1249696.4722158895</v>
      </c>
      <c r="F37" s="22">
        <f t="shared" ref="F37:T37" si="8">F38+F39</f>
        <v>1249696.4722158895</v>
      </c>
      <c r="G37" s="22">
        <f t="shared" si="8"/>
        <v>1249696.4722158895</v>
      </c>
      <c r="H37" s="22">
        <f t="shared" si="8"/>
        <v>1249696.4722158895</v>
      </c>
      <c r="I37" s="22">
        <f t="shared" si="8"/>
        <v>1249696.4722158895</v>
      </c>
      <c r="J37" s="22">
        <f t="shared" si="8"/>
        <v>1249696.4722158895</v>
      </c>
      <c r="K37" s="22">
        <f t="shared" si="8"/>
        <v>1249696.4722158895</v>
      </c>
      <c r="L37" s="22">
        <f t="shared" si="8"/>
        <v>1249696.4722158895</v>
      </c>
      <c r="M37" s="22">
        <f t="shared" si="8"/>
        <v>1249696.4722158895</v>
      </c>
      <c r="N37" s="22">
        <f t="shared" si="8"/>
        <v>1249696.4722158895</v>
      </c>
      <c r="O37" s="22">
        <f t="shared" si="8"/>
        <v>1249696.4722158895</v>
      </c>
      <c r="P37" s="22">
        <f t="shared" si="8"/>
        <v>1249696.4722158895</v>
      </c>
      <c r="Q37" s="22">
        <f t="shared" si="8"/>
        <v>1249696.4722158895</v>
      </c>
      <c r="R37" s="22">
        <f t="shared" si="8"/>
        <v>1249696.4722158895</v>
      </c>
      <c r="S37" s="22">
        <f t="shared" si="8"/>
        <v>1249696.4722158895</v>
      </c>
      <c r="T37" s="22">
        <f t="shared" si="8"/>
        <v>1249696.4722158895</v>
      </c>
    </row>
    <row r="38" spans="1:21" s="6" customFormat="1" ht="12">
      <c r="A38" s="96" t="s">
        <v>154</v>
      </c>
      <c r="B38" s="113" t="s">
        <v>153</v>
      </c>
      <c r="C38" s="214" t="s">
        <v>0</v>
      </c>
      <c r="D38" s="300"/>
      <c r="E38" s="23">
        <f>Założenia!$F$229*Założenia!D272</f>
        <v>276716</v>
      </c>
      <c r="F38" s="23">
        <f>Założenia!$F$229*Założenia!E272</f>
        <v>276716</v>
      </c>
      <c r="G38" s="23">
        <f>Założenia!$F$229*Założenia!F272</f>
        <v>276716</v>
      </c>
      <c r="H38" s="23">
        <f>Założenia!$F$229*Założenia!G272</f>
        <v>276716</v>
      </c>
      <c r="I38" s="23">
        <f>Założenia!$F$229*Założenia!H272</f>
        <v>276716</v>
      </c>
      <c r="J38" s="23">
        <f>Założenia!$F$229*Założenia!I272</f>
        <v>276716</v>
      </c>
      <c r="K38" s="23">
        <f>Założenia!$F$229*Założenia!J272</f>
        <v>276716</v>
      </c>
      <c r="L38" s="23">
        <f>Założenia!$F$229*Założenia!K272</f>
        <v>276716</v>
      </c>
      <c r="M38" s="23">
        <f>Założenia!$F$229*Założenia!L272</f>
        <v>276716</v>
      </c>
      <c r="N38" s="23">
        <f>Założenia!$F$229*Założenia!M272</f>
        <v>276716</v>
      </c>
      <c r="O38" s="23">
        <f>Założenia!$F$229*Założenia!N272</f>
        <v>276716</v>
      </c>
      <c r="P38" s="23">
        <f>Założenia!$F$229*Założenia!O272</f>
        <v>276716</v>
      </c>
      <c r="Q38" s="23">
        <f>Założenia!$F$229*Założenia!P272</f>
        <v>276716</v>
      </c>
      <c r="R38" s="23">
        <f>Założenia!$F$229*Założenia!Q272</f>
        <v>276716</v>
      </c>
      <c r="S38" s="23">
        <f>Założenia!$F$229*Założenia!R272</f>
        <v>276716</v>
      </c>
      <c r="T38" s="23">
        <f>Założenia!$F$229*Założenia!S272</f>
        <v>276716</v>
      </c>
    </row>
    <row r="39" spans="1:21" s="6" customFormat="1" ht="12">
      <c r="A39" s="96" t="s">
        <v>155</v>
      </c>
      <c r="B39" s="113" t="s">
        <v>81</v>
      </c>
      <c r="C39" s="214" t="s">
        <v>0</v>
      </c>
      <c r="D39" s="300"/>
      <c r="E39" s="23">
        <f>Założenia!$E$220</f>
        <v>972980.47221588937</v>
      </c>
      <c r="F39" s="23">
        <f>Założenia!$E$220</f>
        <v>972980.47221588937</v>
      </c>
      <c r="G39" s="23">
        <f>Założenia!$E$220</f>
        <v>972980.47221588937</v>
      </c>
      <c r="H39" s="23">
        <f>Założenia!$E$220</f>
        <v>972980.47221588937</v>
      </c>
      <c r="I39" s="23">
        <f>Założenia!$E$220</f>
        <v>972980.47221588937</v>
      </c>
      <c r="J39" s="23">
        <f>Założenia!$E$220</f>
        <v>972980.47221588937</v>
      </c>
      <c r="K39" s="23">
        <f>Założenia!$E$220</f>
        <v>972980.47221588937</v>
      </c>
      <c r="L39" s="23">
        <f>Założenia!$E$220</f>
        <v>972980.47221588937</v>
      </c>
      <c r="M39" s="23">
        <f>Założenia!$E$220</f>
        <v>972980.47221588937</v>
      </c>
      <c r="N39" s="23">
        <f>Założenia!$E$220</f>
        <v>972980.47221588937</v>
      </c>
      <c r="O39" s="23">
        <f>Założenia!$E$220</f>
        <v>972980.47221588937</v>
      </c>
      <c r="P39" s="23">
        <f>Założenia!$E$220</f>
        <v>972980.47221588937</v>
      </c>
      <c r="Q39" s="23">
        <f>Założenia!$E$220</f>
        <v>972980.47221588937</v>
      </c>
      <c r="R39" s="23">
        <f>Założenia!$E$220</f>
        <v>972980.47221588937</v>
      </c>
      <c r="S39" s="23">
        <f>Założenia!$E$220</f>
        <v>972980.47221588937</v>
      </c>
      <c r="T39" s="23">
        <f>Założenia!$E$220</f>
        <v>972980.47221588937</v>
      </c>
    </row>
    <row r="40" spans="1:21" s="26" customFormat="1">
      <c r="A40" s="108" t="s">
        <v>420</v>
      </c>
      <c r="B40" s="299" t="s">
        <v>455</v>
      </c>
      <c r="C40" s="214" t="s">
        <v>0</v>
      </c>
      <c r="D40" s="300"/>
      <c r="E40" s="125">
        <f>Założenia!$E222</f>
        <v>1348716.5378980758</v>
      </c>
      <c r="F40" s="125">
        <f>Założenia!$E222</f>
        <v>1348716.5378980758</v>
      </c>
      <c r="G40" s="125">
        <f>Założenia!$E222</f>
        <v>1348716.5378980758</v>
      </c>
      <c r="H40" s="125">
        <f>Założenia!$E222</f>
        <v>1348716.5378980758</v>
      </c>
      <c r="I40" s="125">
        <f>Założenia!$E222</f>
        <v>1348716.5378980758</v>
      </c>
      <c r="J40" s="125">
        <f>Założenia!$E222</f>
        <v>1348716.5378980758</v>
      </c>
      <c r="K40" s="125">
        <f>Założenia!$E222</f>
        <v>1348716.5378980758</v>
      </c>
      <c r="L40" s="125">
        <f>Założenia!$E222</f>
        <v>1348716.5378980758</v>
      </c>
      <c r="M40" s="125">
        <f>Założenia!$E222</f>
        <v>1348716.5378980758</v>
      </c>
      <c r="N40" s="125">
        <f>Założenia!$E222</f>
        <v>1348716.5378980758</v>
      </c>
      <c r="O40" s="125">
        <f>Założenia!$E222</f>
        <v>1348716.5378980758</v>
      </c>
      <c r="P40" s="125">
        <f>Założenia!$E222</f>
        <v>1348716.5378980758</v>
      </c>
      <c r="Q40" s="125">
        <f>Założenia!$E222</f>
        <v>1348716.5378980758</v>
      </c>
      <c r="R40" s="125">
        <f>Założenia!$E222</f>
        <v>1348716.5378980758</v>
      </c>
      <c r="S40" s="125">
        <f>Założenia!$E222</f>
        <v>1348716.5378980758</v>
      </c>
      <c r="T40" s="125">
        <f>Założenia!$E222</f>
        <v>1348716.5378980758</v>
      </c>
      <c r="U40" s="13"/>
    </row>
    <row r="41" spans="1:21" s="26" customFormat="1">
      <c r="A41" s="13"/>
      <c r="B41" s="303"/>
      <c r="C41" s="304"/>
      <c r="D41" s="304"/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5"/>
      <c r="T41" s="305"/>
      <c r="U41" s="13"/>
    </row>
    <row r="42" spans="1:21" s="1" customFormat="1" ht="12">
      <c r="A42" s="269" t="s">
        <v>26</v>
      </c>
      <c r="B42" s="95" t="s">
        <v>220</v>
      </c>
    </row>
    <row r="43" spans="1:21" s="26" customFormat="1">
      <c r="A43" s="108" t="s">
        <v>34</v>
      </c>
      <c r="B43" s="166" t="s">
        <v>158</v>
      </c>
      <c r="C43" s="214" t="s">
        <v>0</v>
      </c>
      <c r="D43" s="301"/>
      <c r="E43" s="107">
        <f t="shared" ref="E43:T43" si="9">E45*E50</f>
        <v>225256.51018104475</v>
      </c>
      <c r="F43" s="107">
        <f t="shared" si="9"/>
        <v>231883.87581948366</v>
      </c>
      <c r="G43" s="107">
        <f t="shared" si="9"/>
        <v>238325.09459224716</v>
      </c>
      <c r="H43" s="107">
        <f t="shared" si="9"/>
        <v>244766.31336501052</v>
      </c>
      <c r="I43" s="107">
        <f t="shared" si="9"/>
        <v>251207.53213777402</v>
      </c>
      <c r="J43" s="107">
        <f t="shared" si="9"/>
        <v>257648.75091053743</v>
      </c>
      <c r="K43" s="107">
        <f t="shared" si="9"/>
        <v>264089.96968330088</v>
      </c>
      <c r="L43" s="107">
        <f t="shared" si="9"/>
        <v>270531.18845606432</v>
      </c>
      <c r="M43" s="107">
        <f t="shared" si="9"/>
        <v>276972.40722882771</v>
      </c>
      <c r="N43" s="107">
        <f t="shared" si="9"/>
        <v>283413.62600159121</v>
      </c>
      <c r="O43" s="107">
        <f t="shared" si="9"/>
        <v>289854.8447743546</v>
      </c>
      <c r="P43" s="107">
        <f t="shared" si="9"/>
        <v>296296.06354711804</v>
      </c>
      <c r="Q43" s="107">
        <f t="shared" si="9"/>
        <v>302737.28231988149</v>
      </c>
      <c r="R43" s="107">
        <f t="shared" si="9"/>
        <v>309178.50109264493</v>
      </c>
      <c r="S43" s="107">
        <f t="shared" si="9"/>
        <v>315619.71986540838</v>
      </c>
      <c r="T43" s="107">
        <f t="shared" si="9"/>
        <v>322060.93863817182</v>
      </c>
      <c r="U43" s="13"/>
    </row>
    <row r="44" spans="1:21" s="26" customFormat="1" ht="13.5">
      <c r="A44" s="96"/>
      <c r="B44" s="112" t="s">
        <v>382</v>
      </c>
      <c r="C44" s="214" t="s">
        <v>171</v>
      </c>
      <c r="D44" s="214"/>
      <c r="E44" s="173">
        <f>Założenia!E114</f>
        <v>2.68</v>
      </c>
      <c r="F44" s="173">
        <f>Założenia!F114</f>
        <v>2.68</v>
      </c>
      <c r="G44" s="173">
        <f>Założenia!G114</f>
        <v>2.68</v>
      </c>
      <c r="H44" s="173">
        <f>Założenia!H114</f>
        <v>2.68</v>
      </c>
      <c r="I44" s="173">
        <f>Założenia!I114</f>
        <v>2.68</v>
      </c>
      <c r="J44" s="173">
        <f>Założenia!J114</f>
        <v>2.68</v>
      </c>
      <c r="K44" s="173">
        <f>Założenia!K114</f>
        <v>2.68</v>
      </c>
      <c r="L44" s="173">
        <f>Założenia!L114</f>
        <v>2.68</v>
      </c>
      <c r="M44" s="173">
        <f>Założenia!M114</f>
        <v>2.68</v>
      </c>
      <c r="N44" s="173">
        <f>Założenia!N114</f>
        <v>2.68</v>
      </c>
      <c r="O44" s="173">
        <f>Założenia!O114</f>
        <v>2.68</v>
      </c>
      <c r="P44" s="173">
        <f>Założenia!P114</f>
        <v>2.68</v>
      </c>
      <c r="Q44" s="173">
        <f>Założenia!Q114</f>
        <v>2.68</v>
      </c>
      <c r="R44" s="173">
        <f>Założenia!R114</f>
        <v>2.68</v>
      </c>
      <c r="S44" s="173">
        <f>Założenia!S114</f>
        <v>2.68</v>
      </c>
      <c r="T44" s="173">
        <f>Założenia!T114</f>
        <v>2.68</v>
      </c>
      <c r="U44" s="13"/>
    </row>
    <row r="45" spans="1:21" s="26" customFormat="1" ht="13.5">
      <c r="A45" s="96"/>
      <c r="B45" s="112" t="s">
        <v>156</v>
      </c>
      <c r="C45" s="214" t="s">
        <v>157</v>
      </c>
      <c r="D45" s="214"/>
      <c r="E45" s="174">
        <f>Założenia!E115</f>
        <v>188.60725391508436</v>
      </c>
      <c r="F45" s="174">
        <f>Założenia!F115</f>
        <v>193.99603259837247</v>
      </c>
      <c r="G45" s="174">
        <f>Założenia!G115</f>
        <v>199.38481128166063</v>
      </c>
      <c r="H45" s="174">
        <f>Założenia!H115</f>
        <v>204.77358996494871</v>
      </c>
      <c r="I45" s="174">
        <f>Założenia!I115</f>
        <v>210.16236864823688</v>
      </c>
      <c r="J45" s="174">
        <f>Założenia!J115</f>
        <v>215.55114733152499</v>
      </c>
      <c r="K45" s="174">
        <f>Założenia!K115</f>
        <v>220.93992601481312</v>
      </c>
      <c r="L45" s="174">
        <f>Założenia!L115</f>
        <v>226.32870469810123</v>
      </c>
      <c r="M45" s="174">
        <f>Założenia!M115</f>
        <v>231.71748338138934</v>
      </c>
      <c r="N45" s="174">
        <f>Założenia!N115</f>
        <v>237.10626206467751</v>
      </c>
      <c r="O45" s="174">
        <f>Założenia!O115</f>
        <v>242.49504074796559</v>
      </c>
      <c r="P45" s="174">
        <f>Założenia!P115</f>
        <v>247.88381943125376</v>
      </c>
      <c r="Q45" s="174">
        <f>Założenia!Q115</f>
        <v>253.27259811454186</v>
      </c>
      <c r="R45" s="174">
        <f>Założenia!R115</f>
        <v>258.66137679782997</v>
      </c>
      <c r="S45" s="174">
        <f>Założenia!S115</f>
        <v>264.05015548111811</v>
      </c>
      <c r="T45" s="174">
        <f>Założenia!T115</f>
        <v>269.43893416440625</v>
      </c>
      <c r="U45" s="13"/>
    </row>
    <row r="46" spans="1:21" s="26" customFormat="1">
      <c r="A46" s="96"/>
      <c r="B46" s="112" t="s">
        <v>461</v>
      </c>
      <c r="C46" s="214" t="s">
        <v>136</v>
      </c>
      <c r="D46" s="214"/>
      <c r="E46" s="106">
        <f>Założenia!D291</f>
        <v>52086.956521739128</v>
      </c>
      <c r="F46" s="106">
        <f>Założenia!E291</f>
        <v>52130</v>
      </c>
      <c r="G46" s="106">
        <f>Założenia!F291</f>
        <v>52130</v>
      </c>
      <c r="H46" s="106">
        <f>Założenia!G291</f>
        <v>52130</v>
      </c>
      <c r="I46" s="106">
        <f>Założenia!H291</f>
        <v>52130</v>
      </c>
      <c r="J46" s="106">
        <f>Założenia!I291</f>
        <v>52130</v>
      </c>
      <c r="K46" s="106">
        <f>Założenia!J291</f>
        <v>52130</v>
      </c>
      <c r="L46" s="106">
        <f>Założenia!K291</f>
        <v>52130</v>
      </c>
      <c r="M46" s="106">
        <f>Założenia!L291</f>
        <v>52130</v>
      </c>
      <c r="N46" s="106">
        <f>Założenia!M291</f>
        <v>52130</v>
      </c>
      <c r="O46" s="106">
        <f>Założenia!N291</f>
        <v>52130</v>
      </c>
      <c r="P46" s="106">
        <f>Założenia!O291</f>
        <v>52130</v>
      </c>
      <c r="Q46" s="106">
        <f>Założenia!P291</f>
        <v>52130</v>
      </c>
      <c r="R46" s="106">
        <f>Założenia!Q291</f>
        <v>52130</v>
      </c>
      <c r="S46" s="106">
        <f>Założenia!R291</f>
        <v>52130</v>
      </c>
      <c r="T46" s="106">
        <f>Założenia!S291</f>
        <v>52130</v>
      </c>
      <c r="U46" s="13"/>
    </row>
    <row r="47" spans="1:21" s="26" customFormat="1">
      <c r="A47" s="96"/>
      <c r="B47" s="112" t="s">
        <v>458</v>
      </c>
      <c r="C47" s="214" t="s">
        <v>136</v>
      </c>
      <c r="D47" s="214"/>
      <c r="E47" s="106">
        <f>Założenia!D292</f>
        <v>55555.555555555555</v>
      </c>
      <c r="F47" s="106">
        <f>Założenia!E292</f>
        <v>55601.465405305142</v>
      </c>
      <c r="G47" s="106">
        <f>Założenia!F292</f>
        <v>55601.465405305142</v>
      </c>
      <c r="H47" s="106">
        <f>Założenia!G292</f>
        <v>55601.465405305142</v>
      </c>
      <c r="I47" s="106">
        <f>Założenia!H292</f>
        <v>55601.465405305142</v>
      </c>
      <c r="J47" s="106">
        <f>Założenia!I292</f>
        <v>55601.465405305142</v>
      </c>
      <c r="K47" s="106">
        <f>Założenia!J292</f>
        <v>55601.465405305142</v>
      </c>
      <c r="L47" s="106">
        <f>Założenia!K292</f>
        <v>55601.465405305142</v>
      </c>
      <c r="M47" s="106">
        <f>Założenia!L292</f>
        <v>55601.465405305142</v>
      </c>
      <c r="N47" s="106">
        <f>Założenia!M292</f>
        <v>55601.465405305142</v>
      </c>
      <c r="O47" s="106">
        <f>Założenia!N292</f>
        <v>55601.465405305142</v>
      </c>
      <c r="P47" s="106">
        <f>Założenia!O292</f>
        <v>55601.465405305142</v>
      </c>
      <c r="Q47" s="106">
        <f>Założenia!P292</f>
        <v>55601.465405305142</v>
      </c>
      <c r="R47" s="106">
        <f>Założenia!Q292</f>
        <v>55601.465405305142</v>
      </c>
      <c r="S47" s="106">
        <f>Założenia!R292</f>
        <v>55601.465405305142</v>
      </c>
      <c r="T47" s="106">
        <f>Założenia!S292</f>
        <v>55601.465405305142</v>
      </c>
      <c r="U47" s="13"/>
    </row>
    <row r="48" spans="1:21" s="26" customFormat="1">
      <c r="A48" s="96"/>
      <c r="B48" s="112" t="s">
        <v>459</v>
      </c>
      <c r="C48" s="214" t="s">
        <v>136</v>
      </c>
      <c r="D48" s="214"/>
      <c r="E48" s="106">
        <f>Założenia!D293</f>
        <v>0</v>
      </c>
      <c r="F48" s="106">
        <f>Założenia!E293</f>
        <v>0</v>
      </c>
      <c r="G48" s="106">
        <f>Założenia!F293</f>
        <v>0</v>
      </c>
      <c r="H48" s="106">
        <f>Założenia!G293</f>
        <v>0</v>
      </c>
      <c r="I48" s="106">
        <f>Założenia!H293</f>
        <v>0</v>
      </c>
      <c r="J48" s="106">
        <f>Założenia!I293</f>
        <v>0</v>
      </c>
      <c r="K48" s="106">
        <f>Założenia!J293</f>
        <v>0</v>
      </c>
      <c r="L48" s="106">
        <f>Założenia!K293</f>
        <v>0</v>
      </c>
      <c r="M48" s="106">
        <f>Założenia!L293</f>
        <v>0</v>
      </c>
      <c r="N48" s="106">
        <f>Założenia!M293</f>
        <v>0</v>
      </c>
      <c r="O48" s="106">
        <f>Założenia!N293</f>
        <v>0</v>
      </c>
      <c r="P48" s="106">
        <f>Założenia!O293</f>
        <v>0</v>
      </c>
      <c r="Q48" s="106">
        <f>Założenia!P293</f>
        <v>0</v>
      </c>
      <c r="R48" s="106">
        <f>Założenia!Q293</f>
        <v>0</v>
      </c>
      <c r="S48" s="106">
        <f>Założenia!R293</f>
        <v>0</v>
      </c>
      <c r="T48" s="106">
        <f>Założenia!S293</f>
        <v>0</v>
      </c>
      <c r="U48" s="13"/>
    </row>
    <row r="49" spans="1:21" s="26" customFormat="1">
      <c r="A49" s="96"/>
      <c r="B49" s="112" t="s">
        <v>460</v>
      </c>
      <c r="C49" s="214" t="s">
        <v>136</v>
      </c>
      <c r="D49" s="214"/>
      <c r="E49" s="106">
        <v>0</v>
      </c>
      <c r="F49" s="106">
        <v>1</v>
      </c>
      <c r="G49" s="106">
        <v>2</v>
      </c>
      <c r="H49" s="106">
        <v>3</v>
      </c>
      <c r="I49" s="106">
        <v>4</v>
      </c>
      <c r="J49" s="106">
        <v>5</v>
      </c>
      <c r="K49" s="106">
        <v>6</v>
      </c>
      <c r="L49" s="106">
        <v>7</v>
      </c>
      <c r="M49" s="106">
        <v>8</v>
      </c>
      <c r="N49" s="106">
        <v>9</v>
      </c>
      <c r="O49" s="106">
        <v>10</v>
      </c>
      <c r="P49" s="106">
        <v>11</v>
      </c>
      <c r="Q49" s="106">
        <v>12</v>
      </c>
      <c r="R49" s="106">
        <v>13</v>
      </c>
      <c r="S49" s="106">
        <v>14</v>
      </c>
      <c r="T49" s="106">
        <v>15</v>
      </c>
      <c r="U49" s="13"/>
    </row>
    <row r="50" spans="1:21" s="26" customFormat="1" ht="13.5">
      <c r="A50" s="96"/>
      <c r="B50" s="112" t="s">
        <v>225</v>
      </c>
      <c r="C50" s="214" t="s">
        <v>217</v>
      </c>
      <c r="D50" s="214"/>
      <c r="E50" s="106">
        <f>E51+E59</f>
        <v>1194.3152</v>
      </c>
      <c r="F50" s="106">
        <f t="shared" ref="F50:T50" si="10">F51+F59</f>
        <v>1195.3021549649416</v>
      </c>
      <c r="G50" s="106">
        <f t="shared" si="10"/>
        <v>1195.3021549649416</v>
      </c>
      <c r="H50" s="106">
        <f t="shared" si="10"/>
        <v>1195.3021549649416</v>
      </c>
      <c r="I50" s="106">
        <f t="shared" si="10"/>
        <v>1195.3021549649416</v>
      </c>
      <c r="J50" s="106">
        <f t="shared" si="10"/>
        <v>1195.3021549649416</v>
      </c>
      <c r="K50" s="106">
        <f t="shared" si="10"/>
        <v>1195.3021549649416</v>
      </c>
      <c r="L50" s="106">
        <f t="shared" si="10"/>
        <v>1195.3021549649416</v>
      </c>
      <c r="M50" s="106">
        <f t="shared" si="10"/>
        <v>1195.3021549649416</v>
      </c>
      <c r="N50" s="106">
        <f t="shared" si="10"/>
        <v>1195.3021549649416</v>
      </c>
      <c r="O50" s="106">
        <f t="shared" si="10"/>
        <v>1195.3021549649416</v>
      </c>
      <c r="P50" s="106">
        <f t="shared" si="10"/>
        <v>1195.3021549649416</v>
      </c>
      <c r="Q50" s="106">
        <f t="shared" si="10"/>
        <v>1195.3021549649416</v>
      </c>
      <c r="R50" s="106">
        <f t="shared" si="10"/>
        <v>1195.3021549649416</v>
      </c>
      <c r="S50" s="106">
        <f t="shared" si="10"/>
        <v>1195.3021549649416</v>
      </c>
      <c r="T50" s="106">
        <f t="shared" si="10"/>
        <v>1195.3021549649416</v>
      </c>
      <c r="U50" s="13"/>
    </row>
    <row r="51" spans="1:21" s="26" customFormat="1" ht="15">
      <c r="A51" s="96"/>
      <c r="B51" s="166" t="s">
        <v>343</v>
      </c>
      <c r="C51" s="214" t="s">
        <v>351</v>
      </c>
      <c r="D51" s="214"/>
      <c r="E51" s="106">
        <f>SUM(E52:E58)</f>
        <v>1194.3152</v>
      </c>
      <c r="F51" s="106">
        <f>SUM(F52:F58)</f>
        <v>1195.3021549649416</v>
      </c>
      <c r="G51" s="106">
        <f t="shared" ref="G51:T51" si="11">SUM(G52:G58)</f>
        <v>1195.3021549649416</v>
      </c>
      <c r="H51" s="106">
        <f t="shared" si="11"/>
        <v>1195.3021549649416</v>
      </c>
      <c r="I51" s="106">
        <f t="shared" si="11"/>
        <v>1195.3021549649416</v>
      </c>
      <c r="J51" s="106">
        <f t="shared" si="11"/>
        <v>1195.3021549649416</v>
      </c>
      <c r="K51" s="106">
        <f t="shared" si="11"/>
        <v>1195.3021549649416</v>
      </c>
      <c r="L51" s="106">
        <f t="shared" si="11"/>
        <v>1195.3021549649416</v>
      </c>
      <c r="M51" s="106">
        <f t="shared" si="11"/>
        <v>1195.3021549649416</v>
      </c>
      <c r="N51" s="106">
        <f t="shared" si="11"/>
        <v>1195.3021549649416</v>
      </c>
      <c r="O51" s="106">
        <f t="shared" si="11"/>
        <v>1195.3021549649416</v>
      </c>
      <c r="P51" s="106">
        <f t="shared" si="11"/>
        <v>1195.3021549649416</v>
      </c>
      <c r="Q51" s="106">
        <f t="shared" si="11"/>
        <v>1195.3021549649416</v>
      </c>
      <c r="R51" s="106">
        <f t="shared" si="11"/>
        <v>1195.3021549649416</v>
      </c>
      <c r="S51" s="106">
        <f t="shared" si="11"/>
        <v>1195.3021549649416</v>
      </c>
      <c r="T51" s="106">
        <f t="shared" si="11"/>
        <v>1195.3021549649416</v>
      </c>
      <c r="U51" s="13"/>
    </row>
    <row r="52" spans="1:21" s="26" customFormat="1" ht="15">
      <c r="A52" s="96"/>
      <c r="B52" s="109" t="s">
        <v>426</v>
      </c>
      <c r="C52" s="214" t="s">
        <v>351</v>
      </c>
      <c r="D52" s="214"/>
      <c r="E52" s="106">
        <f>Założenia!D276*E$47*E$44/1000*Założenia!$G53/100</f>
        <v>0</v>
      </c>
      <c r="F52" s="106">
        <f>Założenia!E276*F$47*F$44/1000*Założenia!$G53/100</f>
        <v>0</v>
      </c>
      <c r="G52" s="106">
        <f>Założenia!F276*G$47*G$44/1000*Założenia!$G53/100</f>
        <v>0</v>
      </c>
      <c r="H52" s="106">
        <f>Założenia!G276*H$47*H$44/1000*Założenia!$G53/100</f>
        <v>0</v>
      </c>
      <c r="I52" s="106">
        <f>Założenia!H276*I$47*I$44/1000*Założenia!$G53/100</f>
        <v>0</v>
      </c>
      <c r="J52" s="106">
        <f>Założenia!I276*J$47*J$44/1000*Założenia!$G53/100</f>
        <v>0</v>
      </c>
      <c r="K52" s="106">
        <f>Założenia!J276*K$47*K$44/1000*Założenia!$G53/100</f>
        <v>0</v>
      </c>
      <c r="L52" s="106">
        <f>Założenia!K276*L$47*L$44/1000*Założenia!$G53/100</f>
        <v>0</v>
      </c>
      <c r="M52" s="106">
        <f>Założenia!L276*M$47*M$44/1000*Założenia!$G53/100</f>
        <v>0</v>
      </c>
      <c r="N52" s="106">
        <f>Założenia!M276*N$47*N$44/1000*Założenia!$G53/100</f>
        <v>0</v>
      </c>
      <c r="O52" s="106">
        <f>Założenia!N276*O$47*O$44/1000*Założenia!$G53/100</f>
        <v>0</v>
      </c>
      <c r="P52" s="106">
        <f>Założenia!O276*P$47*P$44/1000*Założenia!$G53/100</f>
        <v>0</v>
      </c>
      <c r="Q52" s="106">
        <f>Założenia!P276*Q$47*Q$44/1000*Założenia!$G53/100</f>
        <v>0</v>
      </c>
      <c r="R52" s="106">
        <f>Założenia!Q276*R$47*R$44/1000*Założenia!$G53/100</f>
        <v>0</v>
      </c>
      <c r="S52" s="106">
        <f>Założenia!R276*S$47*S$44/1000*Założenia!$G53/100</f>
        <v>0</v>
      </c>
      <c r="T52" s="106">
        <f>Założenia!S276*T$47*T$44/1000*Założenia!$G53/100</f>
        <v>0</v>
      </c>
      <c r="U52" s="13"/>
    </row>
    <row r="53" spans="1:21" s="1" customFormat="1" ht="15">
      <c r="A53" s="96"/>
      <c r="B53" s="109" t="s">
        <v>432</v>
      </c>
      <c r="C53" s="214" t="s">
        <v>351</v>
      </c>
      <c r="D53" s="300"/>
      <c r="E53" s="106">
        <f>Założenia!D277*E$47*E$44/1000*Założenia!$G54/100</f>
        <v>0</v>
      </c>
      <c r="F53" s="106">
        <f>Założenia!E277*F$47*F$44/1000*Założenia!$G54/100</f>
        <v>0</v>
      </c>
      <c r="G53" s="106">
        <f>Założenia!F277*G$47*G$44/1000*Założenia!$G54/100</f>
        <v>0</v>
      </c>
      <c r="H53" s="106">
        <f>Założenia!G277*H$47*H$44/1000*Założenia!$G54/100</f>
        <v>0</v>
      </c>
      <c r="I53" s="106">
        <f>Założenia!H277*I$47*I$44/1000*Założenia!$G54/100</f>
        <v>0</v>
      </c>
      <c r="J53" s="106">
        <f>Założenia!I277*J$47*J$44/1000*Założenia!$G54/100</f>
        <v>0</v>
      </c>
      <c r="K53" s="106">
        <f>Założenia!J277*K$47*K$44/1000*Założenia!$G54/100</f>
        <v>0</v>
      </c>
      <c r="L53" s="106">
        <f>Założenia!K277*L$47*L$44/1000*Założenia!$G54/100</f>
        <v>0</v>
      </c>
      <c r="M53" s="106">
        <f>Założenia!L277*M$47*M$44/1000*Założenia!$G54/100</f>
        <v>0</v>
      </c>
      <c r="N53" s="106">
        <f>Założenia!M277*N$47*N$44/1000*Założenia!$G54/100</f>
        <v>0</v>
      </c>
      <c r="O53" s="106">
        <f>Założenia!N277*O$47*O$44/1000*Założenia!$G54/100</f>
        <v>0</v>
      </c>
      <c r="P53" s="106">
        <f>Założenia!O277*P$47*P$44/1000*Założenia!$G54/100</f>
        <v>0</v>
      </c>
      <c r="Q53" s="106">
        <f>Założenia!P277*Q$47*Q$44/1000*Założenia!$G54/100</f>
        <v>0</v>
      </c>
      <c r="R53" s="106">
        <f>Założenia!Q277*R$47*R$44/1000*Założenia!$G54/100</f>
        <v>0</v>
      </c>
      <c r="S53" s="106">
        <f>Założenia!R277*S$47*S$44/1000*Założenia!$G54/100</f>
        <v>0</v>
      </c>
      <c r="T53" s="106">
        <f>Założenia!S277*T$47*T$44/1000*Założenia!$G54/100</f>
        <v>0</v>
      </c>
    </row>
    <row r="54" spans="1:21" s="1" customFormat="1" ht="15">
      <c r="A54" s="96"/>
      <c r="B54" s="109" t="s">
        <v>427</v>
      </c>
      <c r="C54" s="214" t="s">
        <v>351</v>
      </c>
      <c r="D54" s="300"/>
      <c r="E54" s="106">
        <f>Założenia!D278*E$47*E$44/1000*Założenia!$G55/100</f>
        <v>0</v>
      </c>
      <c r="F54" s="106">
        <f>Założenia!E278*F$47*F$44/1000*Założenia!$G55/100</f>
        <v>0</v>
      </c>
      <c r="G54" s="106">
        <f>Założenia!F278*G$47*G$44/1000*Założenia!$G55/100</f>
        <v>0</v>
      </c>
      <c r="H54" s="106">
        <f>Założenia!G278*H$47*H$44/1000*Założenia!$G55/100</f>
        <v>0</v>
      </c>
      <c r="I54" s="106">
        <f>Założenia!H278*I$47*I$44/1000*Założenia!$G55/100</f>
        <v>0</v>
      </c>
      <c r="J54" s="106">
        <f>Założenia!I278*J$47*J$44/1000*Założenia!$G55/100</f>
        <v>0</v>
      </c>
      <c r="K54" s="106">
        <f>Założenia!J278*K$47*K$44/1000*Założenia!$G55/100</f>
        <v>0</v>
      </c>
      <c r="L54" s="106">
        <f>Założenia!K278*L$47*L$44/1000*Założenia!$G55/100</f>
        <v>0</v>
      </c>
      <c r="M54" s="106">
        <f>Założenia!L278*M$47*M$44/1000*Założenia!$G55/100</f>
        <v>0</v>
      </c>
      <c r="N54" s="106">
        <f>Założenia!M278*N$47*N$44/1000*Założenia!$G55/100</f>
        <v>0</v>
      </c>
      <c r="O54" s="106">
        <f>Założenia!N278*O$47*O$44/1000*Założenia!$G55/100</f>
        <v>0</v>
      </c>
      <c r="P54" s="106">
        <f>Założenia!O278*P$47*P$44/1000*Założenia!$G55/100</f>
        <v>0</v>
      </c>
      <c r="Q54" s="106">
        <f>Założenia!P278*Q$47*Q$44/1000*Założenia!$G55/100</f>
        <v>0</v>
      </c>
      <c r="R54" s="106">
        <f>Założenia!Q278*R$47*R$44/1000*Założenia!$G55/100</f>
        <v>0</v>
      </c>
      <c r="S54" s="106">
        <f>Założenia!R278*S$47*S$44/1000*Założenia!$G55/100</f>
        <v>0</v>
      </c>
      <c r="T54" s="106">
        <f>Założenia!S278*T$47*T$44/1000*Założenia!$G55/100</f>
        <v>0</v>
      </c>
    </row>
    <row r="55" spans="1:21" s="1" customFormat="1" ht="15">
      <c r="A55" s="96"/>
      <c r="B55" s="109" t="s">
        <v>428</v>
      </c>
      <c r="C55" s="214" t="s">
        <v>351</v>
      </c>
      <c r="D55" s="300"/>
      <c r="E55" s="106">
        <f>Założenia!D279*E$47*E$44/1000*Założenia!$G56/100</f>
        <v>0</v>
      </c>
      <c r="F55" s="106">
        <f>Założenia!E279*F$47*F$44/1000*Założenia!$G56/100</f>
        <v>0</v>
      </c>
      <c r="G55" s="106">
        <f>Założenia!F279*G$47*G$44/1000*Założenia!$G56/100</f>
        <v>0</v>
      </c>
      <c r="H55" s="106">
        <f>Założenia!G279*H$47*H$44/1000*Założenia!$G56/100</f>
        <v>0</v>
      </c>
      <c r="I55" s="106">
        <f>Założenia!H279*I$47*I$44/1000*Założenia!$G56/100</f>
        <v>0</v>
      </c>
      <c r="J55" s="106">
        <f>Założenia!I279*J$47*J$44/1000*Założenia!$G56/100</f>
        <v>0</v>
      </c>
      <c r="K55" s="106">
        <f>Założenia!J279*K$47*K$44/1000*Założenia!$G56/100</f>
        <v>0</v>
      </c>
      <c r="L55" s="106">
        <f>Założenia!K279*L$47*L$44/1000*Założenia!$G56/100</f>
        <v>0</v>
      </c>
      <c r="M55" s="106">
        <f>Założenia!L279*M$47*M$44/1000*Założenia!$G56/100</f>
        <v>0</v>
      </c>
      <c r="N55" s="106">
        <f>Założenia!M279*N$47*N$44/1000*Założenia!$G56/100</f>
        <v>0</v>
      </c>
      <c r="O55" s="106">
        <f>Założenia!N279*O$47*O$44/1000*Założenia!$G56/100</f>
        <v>0</v>
      </c>
      <c r="P55" s="106">
        <f>Założenia!O279*P$47*P$44/1000*Założenia!$G56/100</f>
        <v>0</v>
      </c>
      <c r="Q55" s="106">
        <f>Założenia!P279*Q$47*Q$44/1000*Założenia!$G56/100</f>
        <v>0</v>
      </c>
      <c r="R55" s="106">
        <f>Założenia!Q279*R$47*R$44/1000*Założenia!$G56/100</f>
        <v>0</v>
      </c>
      <c r="S55" s="106">
        <f>Założenia!R279*S$47*S$44/1000*Założenia!$G56/100</f>
        <v>0</v>
      </c>
      <c r="T55" s="106">
        <f>Założenia!S279*T$47*T$44/1000*Założenia!$G56/100</f>
        <v>0</v>
      </c>
    </row>
    <row r="56" spans="1:21" s="1" customFormat="1" ht="13.5">
      <c r="A56" s="96"/>
      <c r="B56" s="109" t="s">
        <v>429</v>
      </c>
      <c r="C56" s="214" t="s">
        <v>217</v>
      </c>
      <c r="D56" s="300"/>
      <c r="E56" s="106">
        <f>Założenia!D280*E$47*E$44/1000*Założenia!$G57/100</f>
        <v>0</v>
      </c>
      <c r="F56" s="106">
        <f>Założenia!E280*F$47*F$44/1000*Założenia!$G57/100</f>
        <v>0</v>
      </c>
      <c r="G56" s="106">
        <f>Założenia!F280*G$47*G$44/1000*Założenia!$G57/100</f>
        <v>0</v>
      </c>
      <c r="H56" s="106">
        <f>Założenia!G280*H$47*H$44/1000*Założenia!$G57/100</f>
        <v>0</v>
      </c>
      <c r="I56" s="106">
        <f>Założenia!H280*I$47*I$44/1000*Założenia!$G57/100</f>
        <v>0</v>
      </c>
      <c r="J56" s="106">
        <f>Założenia!I280*J$47*J$44/1000*Założenia!$G57/100</f>
        <v>0</v>
      </c>
      <c r="K56" s="106">
        <f>Założenia!J280*K$47*K$44/1000*Założenia!$G57/100</f>
        <v>0</v>
      </c>
      <c r="L56" s="106">
        <f>Założenia!K280*L$47*L$44/1000*Założenia!$G57/100</f>
        <v>0</v>
      </c>
      <c r="M56" s="106">
        <f>Założenia!L280*M$47*M$44/1000*Założenia!$G57/100</f>
        <v>0</v>
      </c>
      <c r="N56" s="106">
        <f>Założenia!M280*N$47*N$44/1000*Założenia!$G57/100</f>
        <v>0</v>
      </c>
      <c r="O56" s="106">
        <f>Założenia!N280*O$47*O$44/1000*Założenia!$G57/100</f>
        <v>0</v>
      </c>
      <c r="P56" s="106">
        <f>Założenia!O280*P$47*P$44/1000*Założenia!$G57/100</f>
        <v>0</v>
      </c>
      <c r="Q56" s="106">
        <f>Założenia!P280*Q$47*Q$44/1000*Założenia!$G57/100</f>
        <v>0</v>
      </c>
      <c r="R56" s="106">
        <f>Założenia!Q280*R$47*R$44/1000*Założenia!$G57/100</f>
        <v>0</v>
      </c>
      <c r="S56" s="106">
        <f>Założenia!R280*S$47*S$44/1000*Założenia!$G57/100</f>
        <v>0</v>
      </c>
      <c r="T56" s="106">
        <f>Założenia!S280*T$47*T$44/1000*Założenia!$G57/100</f>
        <v>0</v>
      </c>
    </row>
    <row r="57" spans="1:21" s="1" customFormat="1" ht="13.5">
      <c r="A57" s="96"/>
      <c r="B57" s="109" t="s">
        <v>430</v>
      </c>
      <c r="C57" s="214" t="s">
        <v>217</v>
      </c>
      <c r="D57" s="300"/>
      <c r="E57" s="106">
        <f>Założenia!D281*E$47*E$44/1000*Założenia!$G58/100+Założenia!D273*E$46*E$44/1000*Założenia!$E58/100</f>
        <v>1194.3152</v>
      </c>
      <c r="F57" s="106">
        <f>Założenia!E281*F$47*F$44/1000*Założenia!$G58/100+Założenia!E273*F$46*F$44/1000*Założenia!$E58/100</f>
        <v>1195.3021549649416</v>
      </c>
      <c r="G57" s="106">
        <f>Założenia!F281*G$47*G$44/1000*Założenia!$G58/100+Założenia!F273*G$46*G$44/1000*Założenia!$E58/100</f>
        <v>1195.3021549649416</v>
      </c>
      <c r="H57" s="106">
        <f>Założenia!G281*H$47*H$44/1000*Założenia!$G58/100+Założenia!G273*H$46*H$44/1000*Założenia!$E58/100</f>
        <v>1195.3021549649416</v>
      </c>
      <c r="I57" s="106">
        <f>Założenia!H281*I$47*I$44/1000*Założenia!$G58/100+Założenia!H273*I$46*I$44/1000*Założenia!$E58/100</f>
        <v>1195.3021549649416</v>
      </c>
      <c r="J57" s="106">
        <f>Założenia!I281*J$47*J$44/1000*Założenia!$G58/100+Założenia!I273*J$46*J$44/1000*Założenia!$E58/100</f>
        <v>1195.3021549649416</v>
      </c>
      <c r="K57" s="106">
        <f>Założenia!J281*K$47*K$44/1000*Założenia!$G58/100+Założenia!J273*K$46*K$44/1000*Założenia!$E58/100</f>
        <v>1195.3021549649416</v>
      </c>
      <c r="L57" s="106">
        <f>Założenia!K281*L$47*L$44/1000*Założenia!$G58/100+Założenia!K273*L$46*L$44/1000*Założenia!$E58/100</f>
        <v>1195.3021549649416</v>
      </c>
      <c r="M57" s="106">
        <f>Założenia!L281*M$47*M$44/1000*Założenia!$G58/100+Założenia!L273*M$46*M$44/1000*Założenia!$E58/100</f>
        <v>1195.3021549649416</v>
      </c>
      <c r="N57" s="106">
        <f>Założenia!M281*N$47*N$44/1000*Założenia!$G58/100+Założenia!M273*N$46*N$44/1000*Założenia!$E58/100</f>
        <v>1195.3021549649416</v>
      </c>
      <c r="O57" s="106">
        <f>Założenia!N281*O$47*O$44/1000*Założenia!$G58/100+Założenia!N273*O$46*O$44/1000*Założenia!$E58/100</f>
        <v>1195.3021549649416</v>
      </c>
      <c r="P57" s="106">
        <f>Założenia!O281*P$47*P$44/1000*Założenia!$G58/100+Założenia!O273*P$46*P$44/1000*Założenia!$E58/100</f>
        <v>1195.3021549649416</v>
      </c>
      <c r="Q57" s="106">
        <f>Założenia!P281*Q$47*Q$44/1000*Założenia!$G58/100+Założenia!P273*Q$46*Q$44/1000*Założenia!$E58/100</f>
        <v>1195.3021549649416</v>
      </c>
      <c r="R57" s="106">
        <f>Założenia!Q281*R$47*R$44/1000*Założenia!$G58/100+Założenia!Q273*R$46*R$44/1000*Założenia!$E58/100</f>
        <v>1195.3021549649416</v>
      </c>
      <c r="S57" s="106">
        <f>Założenia!R281*S$47*S$44/1000*Założenia!$G58/100+Założenia!R273*S$46*S$44/1000*Założenia!$E58/100</f>
        <v>1195.3021549649416</v>
      </c>
      <c r="T57" s="106">
        <f>Założenia!S281*T$47*T$44/1000*Założenia!$G58/100+Założenia!S273*T$46*T$44/1000*Założenia!$E58/100</f>
        <v>1195.3021549649416</v>
      </c>
    </row>
    <row r="58" spans="1:21" s="1" customFormat="1" ht="15">
      <c r="A58" s="96"/>
      <c r="B58" s="109" t="s">
        <v>431</v>
      </c>
      <c r="C58" s="214" t="s">
        <v>351</v>
      </c>
      <c r="D58" s="300"/>
      <c r="E58" s="106">
        <f>Założenia!D282*E$48*E$44/1000*Założenia!$G59/100</f>
        <v>0</v>
      </c>
      <c r="F58" s="106">
        <f>Założenia!E282*F$48*F$44/1000*Założenia!$G59/100</f>
        <v>0</v>
      </c>
      <c r="G58" s="106">
        <f>Założenia!F282*G$48*G$44/1000*Założenia!$G59/100</f>
        <v>0</v>
      </c>
      <c r="H58" s="106">
        <f>Założenia!G282*H$48*H$44/1000*Założenia!$G59/100</f>
        <v>0</v>
      </c>
      <c r="I58" s="106">
        <f>Założenia!H282*I$48*I$44/1000*Założenia!$G59/100</f>
        <v>0</v>
      </c>
      <c r="J58" s="106">
        <f>Założenia!I282*J$48*J$44/1000*Założenia!$G59/100</f>
        <v>0</v>
      </c>
      <c r="K58" s="106">
        <f>Założenia!J282*K$48*K$44/1000*Założenia!$G59/100</f>
        <v>0</v>
      </c>
      <c r="L58" s="106">
        <f>Założenia!K282*L$48*L$44/1000*Założenia!$G59/100</f>
        <v>0</v>
      </c>
      <c r="M58" s="106">
        <f>Założenia!L282*M$48*M$44/1000*Założenia!$G59/100</f>
        <v>0</v>
      </c>
      <c r="N58" s="106">
        <f>Założenia!M282*N$48*N$44/1000*Założenia!$G59/100</f>
        <v>0</v>
      </c>
      <c r="O58" s="106">
        <f>Założenia!N282*O$48*O$44/1000*Założenia!$G59/100</f>
        <v>0</v>
      </c>
      <c r="P58" s="106">
        <f>Założenia!O282*P$48*P$44/1000*Założenia!$G59/100</f>
        <v>0</v>
      </c>
      <c r="Q58" s="106">
        <f>Założenia!P282*Q$48*Q$44/1000*Założenia!$G59/100</f>
        <v>0</v>
      </c>
      <c r="R58" s="106">
        <f>Założenia!Q282*R$48*R$44/1000*Założenia!$G59/100</f>
        <v>0</v>
      </c>
      <c r="S58" s="106">
        <f>Założenia!R282*S$48*S$44/1000*Założenia!$G59/100</f>
        <v>0</v>
      </c>
      <c r="T58" s="106">
        <f>Założenia!S282*T$48*T$44/1000*Założenia!$G59/100</f>
        <v>0</v>
      </c>
    </row>
    <row r="59" spans="1:21" s="1" customFormat="1" ht="13.5">
      <c r="A59" s="96"/>
      <c r="B59" s="110" t="s">
        <v>342</v>
      </c>
      <c r="C59" s="214" t="s">
        <v>217</v>
      </c>
      <c r="D59" s="300"/>
      <c r="E59" s="106">
        <f>E49*Założenia!D283*Założenia!$E$184*Założenia!$E$123*Założenia!E116/1000000</f>
        <v>0</v>
      </c>
      <c r="F59" s="106">
        <f>F49*Założenia!E283*Założenia!$E$184*Założenia!$E$123*Założenia!F116/1000000</f>
        <v>0</v>
      </c>
      <c r="G59" s="106">
        <f>G49*Założenia!F283*Założenia!$E$184*Założenia!$E$123*Założenia!G116/1000000</f>
        <v>0</v>
      </c>
      <c r="H59" s="106">
        <f>H49*Założenia!G283*Założenia!$E$184*Założenia!$E$123*Założenia!H116/1000000</f>
        <v>0</v>
      </c>
      <c r="I59" s="106">
        <f>I49*Założenia!H283*Założenia!$E$184*Założenia!$E$123*Założenia!I116/1000000</f>
        <v>0</v>
      </c>
      <c r="J59" s="106">
        <f>J49*Założenia!I283*Założenia!$E$184*Założenia!$E$123*Założenia!J116/1000000</f>
        <v>0</v>
      </c>
      <c r="K59" s="106">
        <f>K49*Założenia!J283*Założenia!$E$184*Założenia!$E$123*Założenia!K116/1000000</f>
        <v>0</v>
      </c>
      <c r="L59" s="106">
        <f>L49*Założenia!K283*Założenia!$E$184*Założenia!$E$123*Założenia!L116/1000000</f>
        <v>0</v>
      </c>
      <c r="M59" s="106">
        <f>M49*Założenia!L283*Założenia!$E$184*Założenia!$E$123*Założenia!M116/1000000</f>
        <v>0</v>
      </c>
      <c r="N59" s="106">
        <f>N49*Założenia!M283*Założenia!$E$184*Założenia!$E$123*Założenia!N116/1000000</f>
        <v>0</v>
      </c>
      <c r="O59" s="106">
        <f>O49*Założenia!N283*Założenia!$E$184*Założenia!$E$123*Założenia!O116/1000000</f>
        <v>0</v>
      </c>
      <c r="P59" s="106">
        <f>P49*Założenia!O283*Założenia!$E$184*Założenia!$E$123*Założenia!P116/1000000</f>
        <v>0</v>
      </c>
      <c r="Q59" s="106">
        <f>Q49*Założenia!P283*Założenia!$E$184*Założenia!$E$123*Założenia!Q116/1000000</f>
        <v>0</v>
      </c>
      <c r="R59" s="106">
        <f>R49*Założenia!Q283*Założenia!$E$184*Założenia!$E$123*Założenia!R116/1000000</f>
        <v>0</v>
      </c>
      <c r="S59" s="106">
        <f>S49*Założenia!R283*Założenia!$E$184*Założenia!$E$123*Założenia!S116/1000000</f>
        <v>0</v>
      </c>
      <c r="T59" s="106">
        <f>T49*Założenia!S283*Założenia!$E$184*Założenia!$E$123*Założenia!T116/1000000</f>
        <v>0</v>
      </c>
    </row>
    <row r="60" spans="1:21" s="26" customFormat="1">
      <c r="A60" s="108" t="s">
        <v>35</v>
      </c>
      <c r="B60" s="166" t="s">
        <v>159</v>
      </c>
      <c r="C60" s="214" t="s">
        <v>0</v>
      </c>
      <c r="D60" s="214"/>
      <c r="E60" s="107">
        <f>(E62*Założenia!E96*(1+Założenia!$C$110)+E70*Założenia!E96)+(E72*Założenia!E99*(1+Założenia!$C$110)+E80*Założenia!E99)+(E82*Założenia!E97*(1+Założenia!$C$110)+E90*Założenia!E97)</f>
        <v>239740.03094104541</v>
      </c>
      <c r="F60" s="107">
        <f>(F62*Założenia!F96*(1+Założenia!$C$110)+F70*Założenia!F96)+(F72*Założenia!F99*(1+Założenia!$C$110)+F80*Założenia!F99)+(F82*Założenia!F97*(1+Założenia!$C$110)+F90*Założenia!F97)</f>
        <v>249700.68052200734</v>
      </c>
      <c r="G60" s="107">
        <f>(G62*Założenia!G96*(1+Założenia!$C$110)+G70*Założenia!G96)+(G72*Założenia!G99*(1+Założenia!$C$110)+G80*Założenia!G99)+(G82*Założenia!G97*(1+Założenia!$C$110)+G90*Założenia!G97)</f>
        <v>259290.57908002514</v>
      </c>
      <c r="H60" s="107">
        <f>(H62*Założenia!H96*(1+Założenia!$C$110)+H70*Założenia!H96)+(H72*Założenia!H99*(1+Założenia!$C$110)+H80*Założenia!H99)+(H82*Założenia!H97*(1+Założenia!$C$110)+H90*Założenia!H97)</f>
        <v>267412.79024230497</v>
      </c>
      <c r="I60" s="107">
        <f>(I62*Założenia!I96*(1+Założenia!$C$110)+I70*Założenia!I96)+(I72*Założenia!I99*(1+Założenia!$C$110)+I80*Założenia!I99)+(I82*Założenia!I97*(1+Założenia!$C$110)+I90*Założenia!I97)</f>
        <v>275399.3580484353</v>
      </c>
      <c r="J60" s="107">
        <f>(J62*Założenia!J96*(1+Założenia!$C$110)+J70*Założenia!J96)+(J72*Założenia!J99*(1+Założenia!$C$110)+J80*Założenia!J99)+(J82*Założenia!J97*(1+Założenia!$C$110)+J90*Założenia!J97)</f>
        <v>283665.47779287322</v>
      </c>
      <c r="K60" s="107">
        <f>(K62*Założenia!K96*(1+Założenia!$C$110)+K70*Założenia!K96)+(K72*Założenia!K99*(1+Założenia!$C$110)+K80*Założenia!K99)+(K82*Założenia!K97*(1+Założenia!$C$110)+K90*Założenia!K97)</f>
        <v>292222.29362437688</v>
      </c>
      <c r="L60" s="107">
        <f>(L62*Założenia!L96*(1+Założenia!$C$110)+L70*Założenia!L96)+(L72*Założenia!L99*(1+Założenia!$C$110)+L80*Założenia!L99)+(L82*Założenia!L97*(1+Założenia!$C$110)+L90*Założenia!L97)</f>
        <v>300846.94604813977</v>
      </c>
      <c r="M60" s="107">
        <f>(M62*Założenia!M96*(1+Założenia!$C$110)+M70*Założenia!M96)+(M72*Założenia!M99*(1+Założenia!$C$110)+M80*Założenia!M99)+(M82*Założenia!M97*(1+Założenia!$C$110)+M90*Założenia!M97)</f>
        <v>309529.8600772887</v>
      </c>
      <c r="N60" s="107">
        <f>(N62*Założenia!N96*(1+Założenia!$C$110)+N70*Założenia!N96)+(N72*Założenia!N99*(1+Założenia!$C$110)+N80*Założenia!N99)+(N82*Założenia!N97*(1+Założenia!$C$110)+N90*Założenia!N97)</f>
        <v>318011.86260137422</v>
      </c>
      <c r="O60" s="107">
        <f>(O62*Założenia!O96*(1+Założenia!$C$110)+O70*Założenia!O96)+(O72*Założenia!O99*(1+Założenia!$C$110)+O80*Założenia!O99)+(O82*Założenia!O97*(1+Założenia!$C$110)+O90*Założenia!O97)</f>
        <v>326260.79774503323</v>
      </c>
      <c r="P60" s="107">
        <f>(P62*Założenia!P96*(1+Założenia!$C$110)+P70*Założenia!P96)+(P72*Założenia!P99*(1+Założenia!$C$110)+P80*Założenia!P99)+(P82*Założenia!P97*(1+Założenia!$C$110)+P90*Założenia!P97)</f>
        <v>334513.56346324936</v>
      </c>
      <c r="Q60" s="107">
        <f>(Q62*Założenia!Q96*(1+Założenia!$C$110)+Q70*Założenia!Q96)+(Q72*Założenia!Q99*(1+Założenia!$C$110)+Q80*Założenia!Q99)+(Q82*Założenia!Q97*(1+Założenia!$C$110)+Q90*Założenia!Q97)</f>
        <v>342756.32646731148</v>
      </c>
      <c r="R60" s="107">
        <f>(R62*Założenia!R96*(1+Założenia!$C$110)+R70*Założenia!R96)+(R72*Założenia!R99*(1+Założenia!$C$110)+R80*Założenia!R99)+(R82*Założenia!R97*(1+Założenia!$C$110)+R90*Założenia!R97)</f>
        <v>350974.24687650922</v>
      </c>
      <c r="S60" s="107">
        <f>(S62*Założenia!S96*(1+Założenia!$C$110)+S70*Założenia!S96)+(S72*Założenia!S99*(1+Założenia!$C$110)+S80*Założenia!S99)+(S82*Założenia!S97*(1+Założenia!$C$110)+S90*Założenia!S97)</f>
        <v>359151.3117831946</v>
      </c>
      <c r="T60" s="107">
        <f>(T62*Założenia!T96*(1+Założenia!$C$110)+T70*Założenia!T96)+(T72*Założenia!T99*(1+Założenia!$C$110)+T80*Założenia!T99)+(T82*Założenia!T97*(1+Założenia!$C$110)+T90*Założenia!T97)</f>
        <v>367558.24479870242</v>
      </c>
      <c r="U60" s="13"/>
    </row>
    <row r="61" spans="1:21" s="26" customFormat="1">
      <c r="A61" s="96" t="s">
        <v>49</v>
      </c>
      <c r="B61" s="112" t="s">
        <v>183</v>
      </c>
      <c r="C61" s="214" t="s">
        <v>218</v>
      </c>
      <c r="D61" s="214"/>
      <c r="E61" s="194">
        <f>E62+E70</f>
        <v>1.7825600000000001</v>
      </c>
      <c r="F61" s="194">
        <f t="shared" ref="F61:T61" si="12">F62+F70</f>
        <v>1.7840330671118532</v>
      </c>
      <c r="G61" s="194">
        <f t="shared" si="12"/>
        <v>1.7840330671118532</v>
      </c>
      <c r="H61" s="194">
        <f t="shared" si="12"/>
        <v>1.7840330671118532</v>
      </c>
      <c r="I61" s="194">
        <f t="shared" si="12"/>
        <v>1.7840330671118532</v>
      </c>
      <c r="J61" s="194">
        <f t="shared" si="12"/>
        <v>1.7840330671118532</v>
      </c>
      <c r="K61" s="194">
        <f t="shared" si="12"/>
        <v>1.7840330671118532</v>
      </c>
      <c r="L61" s="194">
        <f t="shared" si="12"/>
        <v>1.7840330671118532</v>
      </c>
      <c r="M61" s="194">
        <f t="shared" si="12"/>
        <v>1.7840330671118532</v>
      </c>
      <c r="N61" s="194">
        <f t="shared" si="12"/>
        <v>1.7840330671118532</v>
      </c>
      <c r="O61" s="194">
        <f t="shared" si="12"/>
        <v>1.7840330671118532</v>
      </c>
      <c r="P61" s="194">
        <f t="shared" si="12"/>
        <v>1.7840330671118532</v>
      </c>
      <c r="Q61" s="194">
        <f t="shared" si="12"/>
        <v>1.7840330671118532</v>
      </c>
      <c r="R61" s="194">
        <f t="shared" si="12"/>
        <v>1.7840330671118532</v>
      </c>
      <c r="S61" s="194">
        <f t="shared" si="12"/>
        <v>1.7840330671118532</v>
      </c>
      <c r="T61" s="194">
        <f t="shared" si="12"/>
        <v>1.7840330671118532</v>
      </c>
      <c r="U61" s="13"/>
    </row>
    <row r="62" spans="1:21" s="26" customFormat="1">
      <c r="A62" s="96"/>
      <c r="B62" s="166" t="s">
        <v>343</v>
      </c>
      <c r="C62" s="214" t="s">
        <v>218</v>
      </c>
      <c r="D62" s="214"/>
      <c r="E62" s="106">
        <f>SUM(E63:E69)</f>
        <v>1.7825600000000001</v>
      </c>
      <c r="F62" s="106">
        <f t="shared" ref="F62:T62" si="13">SUM(F63:F69)</f>
        <v>1.7840330671118532</v>
      </c>
      <c r="G62" s="106">
        <f>SUM(G63:G69)</f>
        <v>1.7840330671118532</v>
      </c>
      <c r="H62" s="106">
        <f t="shared" si="13"/>
        <v>1.7840330671118532</v>
      </c>
      <c r="I62" s="106">
        <f t="shared" si="13"/>
        <v>1.7840330671118532</v>
      </c>
      <c r="J62" s="106">
        <f t="shared" si="13"/>
        <v>1.7840330671118532</v>
      </c>
      <c r="K62" s="106">
        <f t="shared" si="13"/>
        <v>1.7840330671118532</v>
      </c>
      <c r="L62" s="106">
        <f t="shared" si="13"/>
        <v>1.7840330671118532</v>
      </c>
      <c r="M62" s="106">
        <f t="shared" si="13"/>
        <v>1.7840330671118532</v>
      </c>
      <c r="N62" s="106">
        <f t="shared" si="13"/>
        <v>1.7840330671118532</v>
      </c>
      <c r="O62" s="106">
        <f t="shared" si="13"/>
        <v>1.7840330671118532</v>
      </c>
      <c r="P62" s="106">
        <f t="shared" si="13"/>
        <v>1.7840330671118532</v>
      </c>
      <c r="Q62" s="106">
        <f t="shared" si="13"/>
        <v>1.7840330671118532</v>
      </c>
      <c r="R62" s="106">
        <f t="shared" si="13"/>
        <v>1.7840330671118532</v>
      </c>
      <c r="S62" s="106">
        <f t="shared" si="13"/>
        <v>1.7840330671118532</v>
      </c>
      <c r="T62" s="106">
        <f t="shared" si="13"/>
        <v>1.7840330671118532</v>
      </c>
      <c r="U62" s="13"/>
    </row>
    <row r="63" spans="1:21" s="26" customFormat="1">
      <c r="A63" s="96"/>
      <c r="B63" s="109" t="s">
        <v>426</v>
      </c>
      <c r="C63" s="214" t="s">
        <v>218</v>
      </c>
      <c r="D63" s="214"/>
      <c r="E63" s="174">
        <f>Założenia!D276*Założenia!D$292*Założenia!$F$72/1000000</f>
        <v>0</v>
      </c>
      <c r="F63" s="174">
        <f>Założenia!E276*Założenia!E$292*Założenia!$F$72/1000000</f>
        <v>0</v>
      </c>
      <c r="G63" s="174">
        <f>Założenia!F276*Założenia!F$292*Założenia!$F$72/1000000</f>
        <v>0</v>
      </c>
      <c r="H63" s="174">
        <f>Założenia!G276*Założenia!G$292*Założenia!$F$72/1000000</f>
        <v>0</v>
      </c>
      <c r="I63" s="174">
        <f>Założenia!H276*Założenia!H$292*Założenia!$F$72/1000000</f>
        <v>0</v>
      </c>
      <c r="J63" s="174">
        <f>Założenia!I276*Założenia!I$292*Założenia!$F$72/1000000</f>
        <v>0</v>
      </c>
      <c r="K63" s="174">
        <f>Założenia!J276*Założenia!J$292*Założenia!$F$72/1000000</f>
        <v>0</v>
      </c>
      <c r="L63" s="174">
        <f>Założenia!K276*Założenia!K$292*Założenia!$F$72/1000000</f>
        <v>0</v>
      </c>
      <c r="M63" s="174">
        <f>Założenia!L276*Założenia!L$292*Założenia!$F$72/1000000</f>
        <v>0</v>
      </c>
      <c r="N63" s="174">
        <f>Założenia!M276*Założenia!M$292*Założenia!$F$72/1000000</f>
        <v>0</v>
      </c>
      <c r="O63" s="174">
        <f>Założenia!N276*Założenia!N$292*Założenia!$F$72/1000000</f>
        <v>0</v>
      </c>
      <c r="P63" s="174">
        <f>Założenia!O276*Założenia!O$292*Założenia!$F$72/1000000</f>
        <v>0</v>
      </c>
      <c r="Q63" s="174">
        <f>Założenia!P276*Założenia!P$292*Założenia!$F$72/1000000</f>
        <v>0</v>
      </c>
      <c r="R63" s="174">
        <f>Założenia!Q276*Założenia!Q$292*Założenia!$F$72/1000000</f>
        <v>0</v>
      </c>
      <c r="S63" s="174">
        <f>Założenia!R276*Założenia!R$292*Założenia!$F$72/1000000</f>
        <v>0</v>
      </c>
      <c r="T63" s="174">
        <f>Założenia!S276*Założenia!S$292*Założenia!$F$72/1000000</f>
        <v>0</v>
      </c>
      <c r="U63" s="13"/>
    </row>
    <row r="64" spans="1:21" s="32" customFormat="1" ht="12">
      <c r="A64" s="96"/>
      <c r="B64" s="109" t="s">
        <v>432</v>
      </c>
      <c r="C64" s="214" t="s">
        <v>218</v>
      </c>
      <c r="D64" s="214"/>
      <c r="E64" s="174">
        <f>Założenia!D277*Założenia!D$292*Założenia!$F$73/1000000</f>
        <v>0</v>
      </c>
      <c r="F64" s="174">
        <f>Założenia!E277*Założenia!E$292*Założenia!$F$73/1000000</f>
        <v>0</v>
      </c>
      <c r="G64" s="174">
        <f>Założenia!F277*Założenia!F$292*Założenia!$F$73/1000000</f>
        <v>0</v>
      </c>
      <c r="H64" s="174">
        <f>Założenia!G277*Założenia!G$292*Założenia!$F$73/1000000</f>
        <v>0</v>
      </c>
      <c r="I64" s="174">
        <f>Założenia!H277*Założenia!H$292*Założenia!$F$73/1000000</f>
        <v>0</v>
      </c>
      <c r="J64" s="174">
        <f>Założenia!I277*Założenia!I$292*Założenia!$F$73/1000000</f>
        <v>0</v>
      </c>
      <c r="K64" s="174">
        <f>Założenia!J277*Założenia!J$292*Założenia!$F$73/1000000</f>
        <v>0</v>
      </c>
      <c r="L64" s="174">
        <f>Założenia!K277*Założenia!K$292*Założenia!$F$73/1000000</f>
        <v>0</v>
      </c>
      <c r="M64" s="174">
        <f>Założenia!L277*Założenia!L$292*Założenia!$F$73/1000000</f>
        <v>0</v>
      </c>
      <c r="N64" s="174">
        <f>Założenia!M277*Założenia!M$292*Założenia!$F$73/1000000</f>
        <v>0</v>
      </c>
      <c r="O64" s="174">
        <f>Założenia!N277*Założenia!N$292*Założenia!$F$73/1000000</f>
        <v>0</v>
      </c>
      <c r="P64" s="174">
        <f>Założenia!O277*Założenia!O$292*Założenia!$F$73/1000000</f>
        <v>0</v>
      </c>
      <c r="Q64" s="174">
        <f>Założenia!P277*Założenia!P$292*Założenia!$F$73/1000000</f>
        <v>0</v>
      </c>
      <c r="R64" s="174">
        <f>Założenia!Q277*Założenia!Q$292*Założenia!$F$73/1000000</f>
        <v>0</v>
      </c>
      <c r="S64" s="174">
        <f>Założenia!R277*Założenia!R$292*Założenia!$F$73/1000000</f>
        <v>0</v>
      </c>
      <c r="T64" s="174">
        <f>Założenia!S277*Założenia!S$292*Założenia!$F$73/1000000</f>
        <v>0</v>
      </c>
      <c r="U64" s="13"/>
    </row>
    <row r="65" spans="1:21" s="32" customFormat="1" ht="12">
      <c r="A65" s="96"/>
      <c r="B65" s="109" t="s">
        <v>427</v>
      </c>
      <c r="C65" s="214" t="s">
        <v>218</v>
      </c>
      <c r="D65" s="214"/>
      <c r="E65" s="174">
        <f>Założenia!D278*Założenia!D$292*Założenia!$F$74/1000000</f>
        <v>0</v>
      </c>
      <c r="F65" s="174">
        <f>Założenia!E278*Założenia!E$292*Założenia!$F$74/1000000</f>
        <v>0</v>
      </c>
      <c r="G65" s="174">
        <f>Założenia!F278*Założenia!F$292*Założenia!$F$74/1000000</f>
        <v>0</v>
      </c>
      <c r="H65" s="174">
        <f>Założenia!G278*Założenia!G$292*Założenia!$F$74/1000000</f>
        <v>0</v>
      </c>
      <c r="I65" s="174">
        <f>Założenia!H278*Założenia!H$292*Założenia!$F$74/1000000</f>
        <v>0</v>
      </c>
      <c r="J65" s="174">
        <f>Założenia!I278*Założenia!I$292*Założenia!$F$74/1000000</f>
        <v>0</v>
      </c>
      <c r="K65" s="174">
        <f>Założenia!J278*Założenia!J$292*Założenia!$F$74/1000000</f>
        <v>0</v>
      </c>
      <c r="L65" s="174">
        <f>Założenia!K278*Założenia!K$292*Założenia!$F$74/1000000</f>
        <v>0</v>
      </c>
      <c r="M65" s="174">
        <f>Założenia!L278*Założenia!L$292*Założenia!$F$74/1000000</f>
        <v>0</v>
      </c>
      <c r="N65" s="174">
        <f>Założenia!M278*Założenia!M$292*Założenia!$F$74/1000000</f>
        <v>0</v>
      </c>
      <c r="O65" s="174">
        <f>Założenia!N278*Założenia!N$292*Założenia!$F$74/1000000</f>
        <v>0</v>
      </c>
      <c r="P65" s="174">
        <f>Założenia!O278*Założenia!O$292*Założenia!$F$74/1000000</f>
        <v>0</v>
      </c>
      <c r="Q65" s="174">
        <f>Założenia!P278*Założenia!P$292*Założenia!$F$74/1000000</f>
        <v>0</v>
      </c>
      <c r="R65" s="174">
        <f>Założenia!Q278*Założenia!Q$292*Założenia!$F$74/1000000</f>
        <v>0</v>
      </c>
      <c r="S65" s="174">
        <f>Założenia!R278*Założenia!R$292*Założenia!$F$74/1000000</f>
        <v>0</v>
      </c>
      <c r="T65" s="174">
        <f>Założenia!S278*Założenia!S$292*Założenia!$F$74/1000000</f>
        <v>0</v>
      </c>
      <c r="U65" s="13"/>
    </row>
    <row r="66" spans="1:21" s="32" customFormat="1" ht="12">
      <c r="A66" s="96"/>
      <c r="B66" s="109" t="s">
        <v>428</v>
      </c>
      <c r="C66" s="214" t="s">
        <v>218</v>
      </c>
      <c r="D66" s="214"/>
      <c r="E66" s="174">
        <f>Założenia!D279*Założenia!D$292*Założenia!$F$75/1000000</f>
        <v>0</v>
      </c>
      <c r="F66" s="174">
        <f>Założenia!E279*Założenia!E$292*Założenia!$F$75/1000000</f>
        <v>0</v>
      </c>
      <c r="G66" s="174">
        <f>Założenia!F279*Założenia!F$292*Założenia!$F$75/1000000</f>
        <v>0</v>
      </c>
      <c r="H66" s="174">
        <f>Założenia!G279*Założenia!G$292*Założenia!$F$75/1000000</f>
        <v>0</v>
      </c>
      <c r="I66" s="174">
        <f>Założenia!H279*Założenia!H$292*Założenia!$F$75/1000000</f>
        <v>0</v>
      </c>
      <c r="J66" s="174">
        <f>Założenia!I279*Założenia!I$292*Założenia!$F$75/1000000</f>
        <v>0</v>
      </c>
      <c r="K66" s="174">
        <f>Założenia!J279*Założenia!J$292*Założenia!$F$75/1000000</f>
        <v>0</v>
      </c>
      <c r="L66" s="174">
        <f>Założenia!K279*Założenia!K$292*Założenia!$F$75/1000000</f>
        <v>0</v>
      </c>
      <c r="M66" s="174">
        <f>Założenia!L279*Założenia!L$292*Założenia!$F$75/1000000</f>
        <v>0</v>
      </c>
      <c r="N66" s="174">
        <f>Założenia!M279*Założenia!M$292*Założenia!$F$75/1000000</f>
        <v>0</v>
      </c>
      <c r="O66" s="174">
        <f>Założenia!N279*Założenia!N$292*Założenia!$F$75/1000000</f>
        <v>0</v>
      </c>
      <c r="P66" s="174">
        <f>Założenia!O279*Założenia!O$292*Założenia!$F$75/1000000</f>
        <v>0</v>
      </c>
      <c r="Q66" s="174">
        <f>Założenia!P279*Założenia!P$292*Założenia!$F$75/1000000</f>
        <v>0</v>
      </c>
      <c r="R66" s="174">
        <f>Założenia!Q279*Założenia!Q$292*Założenia!$F$75/1000000</f>
        <v>0</v>
      </c>
      <c r="S66" s="174">
        <f>Założenia!R279*Założenia!R$292*Założenia!$F$75/1000000</f>
        <v>0</v>
      </c>
      <c r="T66" s="174">
        <f>Założenia!S279*Założenia!S$292*Założenia!$F$75/1000000</f>
        <v>0</v>
      </c>
      <c r="U66" s="13"/>
    </row>
    <row r="67" spans="1:21" s="32" customFormat="1" ht="12">
      <c r="A67" s="96"/>
      <c r="B67" s="109" t="s">
        <v>429</v>
      </c>
      <c r="C67" s="214" t="s">
        <v>218</v>
      </c>
      <c r="D67" s="214"/>
      <c r="E67" s="174">
        <f>Założenia!D280*Założenia!D$292*Założenia!$F$76/1000000</f>
        <v>0</v>
      </c>
      <c r="F67" s="174">
        <f>Założenia!E280*Założenia!E$292*Założenia!$F$76/1000000</f>
        <v>0</v>
      </c>
      <c r="G67" s="174">
        <f>Założenia!F280*Założenia!F$292*Założenia!$F$76/1000000</f>
        <v>0</v>
      </c>
      <c r="H67" s="174">
        <f>Założenia!G280*Założenia!G$292*Założenia!$F$76/1000000</f>
        <v>0</v>
      </c>
      <c r="I67" s="174">
        <f>Założenia!H280*Założenia!H$292*Założenia!$F$76/1000000</f>
        <v>0</v>
      </c>
      <c r="J67" s="174">
        <f>Założenia!I280*Założenia!I$292*Założenia!$F$76/1000000</f>
        <v>0</v>
      </c>
      <c r="K67" s="174">
        <f>Założenia!J280*Założenia!J$292*Założenia!$F$76/1000000</f>
        <v>0</v>
      </c>
      <c r="L67" s="174">
        <f>Założenia!K280*Założenia!K$292*Założenia!$F$76/1000000</f>
        <v>0</v>
      </c>
      <c r="M67" s="174">
        <f>Założenia!L280*Założenia!L$292*Założenia!$F$76/1000000</f>
        <v>0</v>
      </c>
      <c r="N67" s="174">
        <f>Założenia!M280*Założenia!M$292*Założenia!$F$76/1000000</f>
        <v>0</v>
      </c>
      <c r="O67" s="174">
        <f>Założenia!N280*Założenia!N$292*Założenia!$F$76/1000000</f>
        <v>0</v>
      </c>
      <c r="P67" s="174">
        <f>Założenia!O280*Założenia!O$292*Założenia!$F$76/1000000</f>
        <v>0</v>
      </c>
      <c r="Q67" s="174">
        <f>Założenia!P280*Założenia!P$292*Założenia!$F$76/1000000</f>
        <v>0</v>
      </c>
      <c r="R67" s="174">
        <f>Założenia!Q280*Założenia!Q$292*Założenia!$F$76/1000000</f>
        <v>0</v>
      </c>
      <c r="S67" s="174">
        <f>Założenia!R280*Założenia!R$292*Założenia!$F$76/1000000</f>
        <v>0</v>
      </c>
      <c r="T67" s="174">
        <f>Założenia!S280*Założenia!S$292*Założenia!$F$76/1000000</f>
        <v>0</v>
      </c>
      <c r="U67" s="13"/>
    </row>
    <row r="68" spans="1:21" s="32" customFormat="1" ht="12">
      <c r="A68" s="96"/>
      <c r="B68" s="109" t="s">
        <v>430</v>
      </c>
      <c r="C68" s="214" t="s">
        <v>218</v>
      </c>
      <c r="D68" s="214"/>
      <c r="E68" s="174">
        <f>Założenia!D281*Założenia!D$292*Założenia!$F$77/1000000+Założenia!D273*Założenia!D291*Założenia!$F$68/1000000</f>
        <v>1.7825600000000001</v>
      </c>
      <c r="F68" s="174">
        <f>Założenia!E281*Założenia!E$292*Założenia!$F$77/1000000+Założenia!E273*Założenia!E291*Założenia!$F$68/1000000</f>
        <v>1.7840330671118532</v>
      </c>
      <c r="G68" s="174">
        <f>Założenia!F281*Założenia!F$292*Założenia!$F$77/1000000+Założenia!F273*Założenia!F291*Założenia!$F$68/1000000</f>
        <v>1.7840330671118532</v>
      </c>
      <c r="H68" s="174">
        <f>Założenia!G281*Założenia!G$292*Założenia!$F$77/1000000+Założenia!G273*Założenia!G291*Założenia!$F$68/1000000</f>
        <v>1.7840330671118532</v>
      </c>
      <c r="I68" s="174">
        <f>Założenia!H281*Założenia!H$292*Założenia!$F$77/1000000+Założenia!H273*Założenia!H291*Założenia!$F$68/1000000</f>
        <v>1.7840330671118532</v>
      </c>
      <c r="J68" s="174">
        <f>Założenia!I281*Założenia!I$292*Założenia!$F$77/1000000+Założenia!I273*Założenia!I291*Założenia!$F$68/1000000</f>
        <v>1.7840330671118532</v>
      </c>
      <c r="K68" s="174">
        <f>Założenia!J281*Założenia!J$292*Założenia!$F$77/1000000+Założenia!J273*Założenia!J291*Założenia!$F$68/1000000</f>
        <v>1.7840330671118532</v>
      </c>
      <c r="L68" s="174">
        <f>Założenia!K281*Założenia!K$292*Założenia!$F$77/1000000+Założenia!K273*Założenia!K291*Założenia!$F$68/1000000</f>
        <v>1.7840330671118532</v>
      </c>
      <c r="M68" s="174">
        <f>Założenia!L281*Założenia!L$292*Założenia!$F$77/1000000+Założenia!L273*Założenia!L291*Założenia!$F$68/1000000</f>
        <v>1.7840330671118532</v>
      </c>
      <c r="N68" s="174">
        <f>Założenia!M281*Założenia!M$292*Założenia!$F$77/1000000+Założenia!M273*Założenia!M291*Założenia!$F$68/1000000</f>
        <v>1.7840330671118532</v>
      </c>
      <c r="O68" s="174">
        <f>Założenia!N281*Założenia!N$292*Założenia!$F$77/1000000+Założenia!N273*Założenia!N291*Założenia!$F$68/1000000</f>
        <v>1.7840330671118532</v>
      </c>
      <c r="P68" s="174">
        <f>Założenia!O281*Założenia!O$292*Założenia!$F$77/1000000+Założenia!O273*Założenia!O291*Założenia!$F$68/1000000</f>
        <v>1.7840330671118532</v>
      </c>
      <c r="Q68" s="174">
        <f>Założenia!P281*Założenia!P$292*Założenia!$F$77/1000000+Założenia!P273*Założenia!P291*Założenia!$F$68/1000000</f>
        <v>1.7840330671118532</v>
      </c>
      <c r="R68" s="174">
        <f>Założenia!Q281*Założenia!Q$292*Założenia!$F$77/1000000+Założenia!Q273*Założenia!Q291*Założenia!$F$68/1000000</f>
        <v>1.7840330671118532</v>
      </c>
      <c r="S68" s="174">
        <f>Założenia!R281*Założenia!R$292*Założenia!$F$77/1000000+Założenia!R273*Założenia!R291*Założenia!$F$68/1000000</f>
        <v>1.7840330671118532</v>
      </c>
      <c r="T68" s="174">
        <f>Założenia!S281*Założenia!S$292*Założenia!$F$77/1000000+Założenia!S273*Założenia!S291*Założenia!$F$68/1000000</f>
        <v>1.7840330671118532</v>
      </c>
      <c r="U68" s="13"/>
    </row>
    <row r="69" spans="1:21" s="32" customFormat="1" ht="12">
      <c r="A69" s="96"/>
      <c r="B69" s="109" t="s">
        <v>431</v>
      </c>
      <c r="C69" s="214" t="s">
        <v>218</v>
      </c>
      <c r="D69" s="214"/>
      <c r="E69" s="174">
        <f>Założenia!D282*Założenia!D$293*Założenia!$I77/1000000</f>
        <v>0</v>
      </c>
      <c r="F69" s="174">
        <f>Założenia!E282*Założenia!E$293*Założenia!$I77/1000000</f>
        <v>0</v>
      </c>
      <c r="G69" s="174">
        <f>Założenia!F282*Założenia!F$293*Założenia!$I77/1000000</f>
        <v>0</v>
      </c>
      <c r="H69" s="174">
        <f>Założenia!G282*Założenia!G$293*Założenia!$I77/1000000</f>
        <v>0</v>
      </c>
      <c r="I69" s="174">
        <f>Założenia!H282*Założenia!H$293*Założenia!$I77/1000000</f>
        <v>0</v>
      </c>
      <c r="J69" s="174">
        <f>Założenia!I282*Założenia!I$293*Założenia!$I77/1000000</f>
        <v>0</v>
      </c>
      <c r="K69" s="174">
        <f>Założenia!J282*Założenia!J$293*Założenia!$I77/1000000</f>
        <v>0</v>
      </c>
      <c r="L69" s="174">
        <f>Założenia!K282*Założenia!K$293*Założenia!$I77/1000000</f>
        <v>0</v>
      </c>
      <c r="M69" s="174">
        <f>Założenia!L282*Założenia!L$293*Założenia!$I77/1000000</f>
        <v>0</v>
      </c>
      <c r="N69" s="174">
        <f>Założenia!M282*Założenia!M$293*Założenia!$I77/1000000</f>
        <v>0</v>
      </c>
      <c r="O69" s="174">
        <f>Założenia!N282*Założenia!N$293*Założenia!$I77/1000000</f>
        <v>0</v>
      </c>
      <c r="P69" s="174">
        <f>Założenia!O282*Założenia!O$293*Założenia!$I77/1000000</f>
        <v>0</v>
      </c>
      <c r="Q69" s="174">
        <f>Założenia!P282*Założenia!P$293*Założenia!$I77/1000000</f>
        <v>0</v>
      </c>
      <c r="R69" s="174">
        <f>Założenia!Q282*Założenia!Q$293*Założenia!$I77/1000000</f>
        <v>0</v>
      </c>
      <c r="S69" s="174">
        <f>Założenia!R282*Założenia!R$293*Założenia!$I77/1000000</f>
        <v>0</v>
      </c>
      <c r="T69" s="174">
        <f>Założenia!S282*Założenia!S$293*Założenia!$I77/1000000</f>
        <v>0</v>
      </c>
      <c r="U69" s="13"/>
    </row>
    <row r="70" spans="1:21" s="1" customFormat="1" ht="12">
      <c r="A70" s="96"/>
      <c r="B70" s="110" t="s">
        <v>342</v>
      </c>
      <c r="C70" s="214" t="s">
        <v>218</v>
      </c>
      <c r="D70" s="300"/>
      <c r="E70" s="379">
        <f>Założenia!D283*Założenia!D$294*Założenia!$E$184*Założenia!$E$123*Założenia!E92/1000000</f>
        <v>0</v>
      </c>
      <c r="F70" s="379">
        <f>Założenia!E283*Założenia!E$294*Założenia!$E$184*Założenia!$E$123*Założenia!F92/1000000</f>
        <v>0</v>
      </c>
      <c r="G70" s="379">
        <f>Założenia!F283*Założenia!F$294*Założenia!$E$184*Założenia!$E$123*Założenia!G92/1000000</f>
        <v>0</v>
      </c>
      <c r="H70" s="379">
        <f>Założenia!G283*Założenia!G$294*Założenia!$E$184*Założenia!$E$123*Założenia!H92/1000000</f>
        <v>0</v>
      </c>
      <c r="I70" s="379">
        <f>Założenia!H283*Założenia!H$294*Założenia!$E$184*Założenia!$E$123*Założenia!I92/1000000</f>
        <v>0</v>
      </c>
      <c r="J70" s="379">
        <f>Założenia!I283*Założenia!I$294*Założenia!$E$184*Założenia!$E$123*Założenia!J92/1000000</f>
        <v>0</v>
      </c>
      <c r="K70" s="379">
        <f>Założenia!J283*Założenia!J$294*Założenia!$E$184*Założenia!$E$123*Założenia!K92/1000000</f>
        <v>0</v>
      </c>
      <c r="L70" s="379">
        <f>Założenia!K283*Założenia!K$294*Założenia!$E$184*Założenia!$E$123*Założenia!L92/1000000</f>
        <v>0</v>
      </c>
      <c r="M70" s="379">
        <f>Założenia!L283*Założenia!L$294*Założenia!$E$184*Założenia!$E$123*Założenia!M92/1000000</f>
        <v>0</v>
      </c>
      <c r="N70" s="379">
        <f>Założenia!M283*Założenia!M$294*Założenia!$E$184*Założenia!$E$123*Założenia!N92/1000000</f>
        <v>0</v>
      </c>
      <c r="O70" s="379">
        <f>Założenia!N283*Założenia!N$294*Założenia!$E$184*Założenia!$E$123*Założenia!O92/1000000</f>
        <v>0</v>
      </c>
      <c r="P70" s="379">
        <f>Założenia!O283*Założenia!O$294*Założenia!$E$184*Założenia!$E$123*Założenia!P92/1000000</f>
        <v>0</v>
      </c>
      <c r="Q70" s="379">
        <f>Założenia!P283*Założenia!P$294*Założenia!$E$184*Założenia!$E$123*Założenia!Q92/1000000</f>
        <v>0</v>
      </c>
      <c r="R70" s="379">
        <f>Założenia!Q283*Założenia!Q$294*Założenia!$E$184*Założenia!$E$123*Założenia!R92/1000000</f>
        <v>0</v>
      </c>
      <c r="S70" s="379">
        <f>Założenia!R283*Założenia!R$294*Założenia!$E$184*Założenia!$E$123*Założenia!S92/1000000</f>
        <v>0</v>
      </c>
      <c r="T70" s="379">
        <f>Założenia!S283*Założenia!S$294*Założenia!$E$184*Założenia!$E$123*Założenia!T92/1000000</f>
        <v>0</v>
      </c>
    </row>
    <row r="71" spans="1:21" s="26" customFormat="1">
      <c r="A71" s="96" t="s">
        <v>50</v>
      </c>
      <c r="B71" s="112" t="s">
        <v>184</v>
      </c>
      <c r="C71" s="214" t="s">
        <v>219</v>
      </c>
      <c r="D71" s="214"/>
      <c r="E71" s="194">
        <f>E72+E80</f>
        <v>4.4564000000000006E-2</v>
      </c>
      <c r="F71" s="194">
        <f t="shared" ref="F71:T71" si="14">F72+F80</f>
        <v>4.4600826677796329E-2</v>
      </c>
      <c r="G71" s="194">
        <f t="shared" si="14"/>
        <v>4.4600826677796329E-2</v>
      </c>
      <c r="H71" s="194">
        <f t="shared" si="14"/>
        <v>4.4600826677796329E-2</v>
      </c>
      <c r="I71" s="194">
        <f t="shared" si="14"/>
        <v>4.4600826677796329E-2</v>
      </c>
      <c r="J71" s="194">
        <f t="shared" si="14"/>
        <v>4.4600826677796329E-2</v>
      </c>
      <c r="K71" s="194">
        <f t="shared" si="14"/>
        <v>4.4600826677796329E-2</v>
      </c>
      <c r="L71" s="194">
        <f t="shared" si="14"/>
        <v>4.4600826677796329E-2</v>
      </c>
      <c r="M71" s="194">
        <f t="shared" si="14"/>
        <v>4.4600826677796329E-2</v>
      </c>
      <c r="N71" s="194">
        <f t="shared" si="14"/>
        <v>4.4600826677796329E-2</v>
      </c>
      <c r="O71" s="194">
        <f t="shared" si="14"/>
        <v>4.4600826677796329E-2</v>
      </c>
      <c r="P71" s="194">
        <f t="shared" si="14"/>
        <v>4.4600826677796329E-2</v>
      </c>
      <c r="Q71" s="194">
        <f t="shared" si="14"/>
        <v>4.4600826677796329E-2</v>
      </c>
      <c r="R71" s="194">
        <f t="shared" si="14"/>
        <v>4.4600826677796329E-2</v>
      </c>
      <c r="S71" s="194">
        <f t="shared" si="14"/>
        <v>4.4600826677796329E-2</v>
      </c>
      <c r="T71" s="194">
        <f t="shared" si="14"/>
        <v>4.4600826677796329E-2</v>
      </c>
      <c r="U71" s="13"/>
    </row>
    <row r="72" spans="1:21" s="26" customFormat="1">
      <c r="A72" s="96"/>
      <c r="B72" s="166" t="s">
        <v>343</v>
      </c>
      <c r="C72" s="214" t="s">
        <v>219</v>
      </c>
      <c r="D72" s="214"/>
      <c r="E72" s="174">
        <f>SUM(E73:E79)</f>
        <v>4.4564000000000006E-2</v>
      </c>
      <c r="F72" s="174">
        <f t="shared" ref="F72:T72" si="15">SUM(F73:F79)</f>
        <v>4.4600826677796329E-2</v>
      </c>
      <c r="G72" s="174">
        <f t="shared" si="15"/>
        <v>4.4600826677796329E-2</v>
      </c>
      <c r="H72" s="174">
        <f t="shared" si="15"/>
        <v>4.4600826677796329E-2</v>
      </c>
      <c r="I72" s="174">
        <f t="shared" si="15"/>
        <v>4.4600826677796329E-2</v>
      </c>
      <c r="J72" s="174">
        <f t="shared" si="15"/>
        <v>4.4600826677796329E-2</v>
      </c>
      <c r="K72" s="174">
        <f t="shared" si="15"/>
        <v>4.4600826677796329E-2</v>
      </c>
      <c r="L72" s="174">
        <f t="shared" si="15"/>
        <v>4.4600826677796329E-2</v>
      </c>
      <c r="M72" s="174">
        <f t="shared" si="15"/>
        <v>4.4600826677796329E-2</v>
      </c>
      <c r="N72" s="174">
        <f t="shared" si="15"/>
        <v>4.4600826677796329E-2</v>
      </c>
      <c r="O72" s="174">
        <f t="shared" si="15"/>
        <v>4.4600826677796329E-2</v>
      </c>
      <c r="P72" s="174">
        <f t="shared" si="15"/>
        <v>4.4600826677796329E-2</v>
      </c>
      <c r="Q72" s="174">
        <f t="shared" si="15"/>
        <v>4.4600826677796329E-2</v>
      </c>
      <c r="R72" s="174">
        <f t="shared" si="15"/>
        <v>4.4600826677796329E-2</v>
      </c>
      <c r="S72" s="174">
        <f t="shared" si="15"/>
        <v>4.4600826677796329E-2</v>
      </c>
      <c r="T72" s="174">
        <f t="shared" si="15"/>
        <v>4.4600826677796329E-2</v>
      </c>
      <c r="U72" s="13"/>
    </row>
    <row r="73" spans="1:21" s="26" customFormat="1">
      <c r="A73" s="96"/>
      <c r="B73" s="109" t="s">
        <v>426</v>
      </c>
      <c r="C73" s="214" t="s">
        <v>219</v>
      </c>
      <c r="D73" s="214"/>
      <c r="E73" s="174">
        <f>Założenia!D276*Założenia!D$292*Założenia!$G72/1000000</f>
        <v>0</v>
      </c>
      <c r="F73" s="174">
        <f>Założenia!E276*Założenia!E$292*Założenia!$G72/1000000</f>
        <v>0</v>
      </c>
      <c r="G73" s="174">
        <f>Założenia!F276*Założenia!F$292*Założenia!$G72/1000000</f>
        <v>0</v>
      </c>
      <c r="H73" s="174">
        <f>Założenia!G276*Założenia!G$292*Założenia!$G72/1000000</f>
        <v>0</v>
      </c>
      <c r="I73" s="174">
        <f>Założenia!H276*Założenia!H$292*Założenia!$G72/1000000</f>
        <v>0</v>
      </c>
      <c r="J73" s="174">
        <f>Założenia!I276*Założenia!I$292*Założenia!$G72/1000000</f>
        <v>0</v>
      </c>
      <c r="K73" s="174">
        <f>Założenia!J276*Założenia!J$292*Założenia!$G72/1000000</f>
        <v>0</v>
      </c>
      <c r="L73" s="174">
        <f>Założenia!K276*Założenia!K$292*Założenia!$G72/1000000</f>
        <v>0</v>
      </c>
      <c r="M73" s="174">
        <f>Założenia!L276*Założenia!L$292*Założenia!$G72/1000000</f>
        <v>0</v>
      </c>
      <c r="N73" s="174">
        <f>Założenia!M276*Założenia!M$292*Założenia!$G72/1000000</f>
        <v>0</v>
      </c>
      <c r="O73" s="174">
        <f>Założenia!N276*Założenia!N$292*Założenia!$G72/1000000</f>
        <v>0</v>
      </c>
      <c r="P73" s="174">
        <f>Założenia!O276*Założenia!O$292*Założenia!$G72/1000000</f>
        <v>0</v>
      </c>
      <c r="Q73" s="174">
        <f>Założenia!P276*Założenia!P$292*Założenia!$G72/1000000</f>
        <v>0</v>
      </c>
      <c r="R73" s="174">
        <f>Założenia!Q276*Założenia!Q$292*Założenia!$G72/1000000</f>
        <v>0</v>
      </c>
      <c r="S73" s="174">
        <f>Założenia!R276*Założenia!R$292*Założenia!$G72/1000000</f>
        <v>0</v>
      </c>
      <c r="T73" s="174">
        <f>Założenia!S276*Założenia!S$292*Założenia!$G72/1000000</f>
        <v>0</v>
      </c>
      <c r="U73" s="13"/>
    </row>
    <row r="74" spans="1:21" s="32" customFormat="1" ht="12">
      <c r="A74" s="96"/>
      <c r="B74" s="109" t="s">
        <v>432</v>
      </c>
      <c r="C74" s="214" t="s">
        <v>219</v>
      </c>
      <c r="D74" s="214"/>
      <c r="E74" s="174">
        <f>Założenia!D277*Założenia!D$292*Założenia!$G73/1000000</f>
        <v>0</v>
      </c>
      <c r="F74" s="174">
        <f>Założenia!E277*Założenia!E$292*Założenia!$G73/1000000</f>
        <v>0</v>
      </c>
      <c r="G74" s="174">
        <f>Założenia!F277*Założenia!F$292*Założenia!$G73/1000000</f>
        <v>0</v>
      </c>
      <c r="H74" s="174">
        <f>Założenia!G277*Założenia!G$292*Założenia!$G73/1000000</f>
        <v>0</v>
      </c>
      <c r="I74" s="174">
        <f>Założenia!H277*Założenia!H$292*Założenia!$G73/1000000</f>
        <v>0</v>
      </c>
      <c r="J74" s="174">
        <f>Założenia!I277*Założenia!I$292*Założenia!$G73/1000000</f>
        <v>0</v>
      </c>
      <c r="K74" s="174">
        <f>Założenia!J277*Założenia!J$292*Założenia!$G73/1000000</f>
        <v>0</v>
      </c>
      <c r="L74" s="174">
        <f>Założenia!K277*Założenia!K$292*Założenia!$G73/1000000</f>
        <v>0</v>
      </c>
      <c r="M74" s="174">
        <f>Założenia!L277*Założenia!L$292*Założenia!$G73/1000000</f>
        <v>0</v>
      </c>
      <c r="N74" s="174">
        <f>Założenia!M277*Założenia!M$292*Założenia!$G73/1000000</f>
        <v>0</v>
      </c>
      <c r="O74" s="174">
        <f>Założenia!N277*Założenia!N$292*Założenia!$G73/1000000</f>
        <v>0</v>
      </c>
      <c r="P74" s="174">
        <f>Założenia!O277*Założenia!O$292*Założenia!$G73/1000000</f>
        <v>0</v>
      </c>
      <c r="Q74" s="174">
        <f>Założenia!P277*Założenia!P$292*Założenia!$G73/1000000</f>
        <v>0</v>
      </c>
      <c r="R74" s="174">
        <f>Założenia!Q277*Założenia!Q$292*Założenia!$G73/1000000</f>
        <v>0</v>
      </c>
      <c r="S74" s="174">
        <f>Założenia!R277*Założenia!R$292*Założenia!$G73/1000000</f>
        <v>0</v>
      </c>
      <c r="T74" s="174">
        <f>Założenia!S277*Założenia!S$292*Założenia!$G73/1000000</f>
        <v>0</v>
      </c>
      <c r="U74" s="13"/>
    </row>
    <row r="75" spans="1:21" s="32" customFormat="1" ht="12">
      <c r="A75" s="96"/>
      <c r="B75" s="109" t="s">
        <v>427</v>
      </c>
      <c r="C75" s="214" t="s">
        <v>219</v>
      </c>
      <c r="D75" s="214"/>
      <c r="E75" s="174">
        <f>Założenia!D278*Założenia!D$292*Założenia!$G74/1000000</f>
        <v>0</v>
      </c>
      <c r="F75" s="174">
        <f>Założenia!E278*Założenia!E$292*Założenia!$G74/1000000</f>
        <v>0</v>
      </c>
      <c r="G75" s="174">
        <f>Założenia!F278*Założenia!F$292*Założenia!$G74/1000000</f>
        <v>0</v>
      </c>
      <c r="H75" s="174">
        <f>Założenia!G278*Założenia!G$292*Założenia!$G74/1000000</f>
        <v>0</v>
      </c>
      <c r="I75" s="174">
        <f>Założenia!H278*Założenia!H$292*Założenia!$G74/1000000</f>
        <v>0</v>
      </c>
      <c r="J75" s="174">
        <f>Założenia!I278*Założenia!I$292*Założenia!$G74/1000000</f>
        <v>0</v>
      </c>
      <c r="K75" s="174">
        <f>Założenia!J278*Założenia!J$292*Założenia!$G74/1000000</f>
        <v>0</v>
      </c>
      <c r="L75" s="174">
        <f>Założenia!K278*Założenia!K$292*Założenia!$G74/1000000</f>
        <v>0</v>
      </c>
      <c r="M75" s="174">
        <f>Założenia!L278*Założenia!L$292*Założenia!$G74/1000000</f>
        <v>0</v>
      </c>
      <c r="N75" s="174">
        <f>Założenia!M278*Założenia!M$292*Założenia!$G74/1000000</f>
        <v>0</v>
      </c>
      <c r="O75" s="174">
        <f>Założenia!N278*Założenia!N$292*Założenia!$G74/1000000</f>
        <v>0</v>
      </c>
      <c r="P75" s="174">
        <f>Założenia!O278*Założenia!O$292*Założenia!$G74/1000000</f>
        <v>0</v>
      </c>
      <c r="Q75" s="174">
        <f>Założenia!P278*Założenia!P$292*Założenia!$G74/1000000</f>
        <v>0</v>
      </c>
      <c r="R75" s="174">
        <f>Założenia!Q278*Założenia!Q$292*Założenia!$G74/1000000</f>
        <v>0</v>
      </c>
      <c r="S75" s="174">
        <f>Założenia!R278*Założenia!R$292*Założenia!$G74/1000000</f>
        <v>0</v>
      </c>
      <c r="T75" s="174">
        <f>Założenia!S278*Założenia!S$292*Założenia!$G74/1000000</f>
        <v>0</v>
      </c>
      <c r="U75" s="13"/>
    </row>
    <row r="76" spans="1:21" s="32" customFormat="1" ht="12">
      <c r="A76" s="96"/>
      <c r="B76" s="109" t="s">
        <v>428</v>
      </c>
      <c r="C76" s="214" t="s">
        <v>219</v>
      </c>
      <c r="D76" s="214"/>
      <c r="E76" s="174">
        <f>Założenia!D279*Założenia!D$292*Założenia!$G75/1000000</f>
        <v>0</v>
      </c>
      <c r="F76" s="174">
        <f>Założenia!E279*Założenia!E$292*Założenia!$G75/1000000</f>
        <v>0</v>
      </c>
      <c r="G76" s="174">
        <f>Założenia!F279*Założenia!F$292*Założenia!$G75/1000000</f>
        <v>0</v>
      </c>
      <c r="H76" s="174">
        <f>Założenia!G279*Założenia!G$292*Założenia!$G75/1000000</f>
        <v>0</v>
      </c>
      <c r="I76" s="174">
        <f>Założenia!H279*Założenia!H$292*Założenia!$G75/1000000</f>
        <v>0</v>
      </c>
      <c r="J76" s="174">
        <f>Założenia!I279*Założenia!I$292*Założenia!$G75/1000000</f>
        <v>0</v>
      </c>
      <c r="K76" s="174">
        <f>Założenia!J279*Założenia!J$292*Założenia!$G75/1000000</f>
        <v>0</v>
      </c>
      <c r="L76" s="174">
        <f>Założenia!K279*Założenia!K$292*Założenia!$G75/1000000</f>
        <v>0</v>
      </c>
      <c r="M76" s="174">
        <f>Założenia!L279*Założenia!L$292*Założenia!$G75/1000000</f>
        <v>0</v>
      </c>
      <c r="N76" s="174">
        <f>Założenia!M279*Założenia!M$292*Założenia!$G75/1000000</f>
        <v>0</v>
      </c>
      <c r="O76" s="174">
        <f>Założenia!N279*Założenia!N$292*Założenia!$G75/1000000</f>
        <v>0</v>
      </c>
      <c r="P76" s="174">
        <f>Założenia!O279*Założenia!O$292*Założenia!$G75/1000000</f>
        <v>0</v>
      </c>
      <c r="Q76" s="174">
        <f>Założenia!P279*Założenia!P$292*Założenia!$G75/1000000</f>
        <v>0</v>
      </c>
      <c r="R76" s="174">
        <f>Założenia!Q279*Założenia!Q$292*Założenia!$G75/1000000</f>
        <v>0</v>
      </c>
      <c r="S76" s="174">
        <f>Założenia!R279*Założenia!R$292*Założenia!$G75/1000000</f>
        <v>0</v>
      </c>
      <c r="T76" s="174">
        <f>Założenia!S279*Założenia!S$292*Założenia!$G75/1000000</f>
        <v>0</v>
      </c>
      <c r="U76" s="13"/>
    </row>
    <row r="77" spans="1:21" s="32" customFormat="1" ht="12">
      <c r="A77" s="96"/>
      <c r="B77" s="109" t="s">
        <v>429</v>
      </c>
      <c r="C77" s="214" t="s">
        <v>219</v>
      </c>
      <c r="D77" s="214"/>
      <c r="E77" s="174">
        <f>Założenia!D280*Założenia!D$292*Założenia!$G76/1000000</f>
        <v>0</v>
      </c>
      <c r="F77" s="174">
        <f>Założenia!E280*Założenia!E$292*Założenia!$G76/1000000</f>
        <v>0</v>
      </c>
      <c r="G77" s="174">
        <f>Założenia!F280*Założenia!F$292*Założenia!$G76/1000000</f>
        <v>0</v>
      </c>
      <c r="H77" s="174">
        <f>Założenia!G280*Założenia!G$292*Założenia!$G76/1000000</f>
        <v>0</v>
      </c>
      <c r="I77" s="174">
        <f>Założenia!H280*Założenia!H$292*Założenia!$G76/1000000</f>
        <v>0</v>
      </c>
      <c r="J77" s="174">
        <f>Założenia!I280*Założenia!I$292*Założenia!$G76/1000000</f>
        <v>0</v>
      </c>
      <c r="K77" s="174">
        <f>Założenia!J280*Założenia!J$292*Założenia!$G76/1000000</f>
        <v>0</v>
      </c>
      <c r="L77" s="174">
        <f>Założenia!K280*Założenia!K$292*Założenia!$G76/1000000</f>
        <v>0</v>
      </c>
      <c r="M77" s="174">
        <f>Założenia!L280*Założenia!L$292*Założenia!$G76/1000000</f>
        <v>0</v>
      </c>
      <c r="N77" s="174">
        <f>Założenia!M280*Założenia!M$292*Założenia!$G76/1000000</f>
        <v>0</v>
      </c>
      <c r="O77" s="174">
        <f>Założenia!N280*Założenia!N$292*Założenia!$G76/1000000</f>
        <v>0</v>
      </c>
      <c r="P77" s="174">
        <f>Założenia!O280*Założenia!O$292*Założenia!$G76/1000000</f>
        <v>0</v>
      </c>
      <c r="Q77" s="174">
        <f>Założenia!P280*Założenia!P$292*Założenia!$G76/1000000</f>
        <v>0</v>
      </c>
      <c r="R77" s="174">
        <f>Założenia!Q280*Założenia!Q$292*Założenia!$G76/1000000</f>
        <v>0</v>
      </c>
      <c r="S77" s="174">
        <f>Założenia!R280*Założenia!R$292*Założenia!$G76/1000000</f>
        <v>0</v>
      </c>
      <c r="T77" s="174">
        <f>Założenia!S280*Założenia!S$292*Założenia!$G76/1000000</f>
        <v>0</v>
      </c>
      <c r="U77" s="13"/>
    </row>
    <row r="78" spans="1:21" s="32" customFormat="1" ht="12">
      <c r="A78" s="96"/>
      <c r="B78" s="109" t="s">
        <v>430</v>
      </c>
      <c r="C78" s="214" t="s">
        <v>219</v>
      </c>
      <c r="D78" s="214"/>
      <c r="E78" s="174">
        <f>Założenia!D281*Założenia!D$292*Założenia!$G77/1000000+Założenia!D273*Założenia!D291*Założenia!$G$68/1000000</f>
        <v>4.4564000000000006E-2</v>
      </c>
      <c r="F78" s="174">
        <f>Założenia!E281*Założenia!E$292*Założenia!$G77/1000000+Założenia!E273*Założenia!E291*Założenia!$G$68/1000000</f>
        <v>4.4600826677796329E-2</v>
      </c>
      <c r="G78" s="174">
        <f>Założenia!F281*Założenia!F$292*Założenia!$G77/1000000+Założenia!F273*Założenia!F291*Założenia!$G$68/1000000</f>
        <v>4.4600826677796329E-2</v>
      </c>
      <c r="H78" s="174">
        <f>Założenia!G281*Założenia!G$292*Założenia!$G77/1000000+Założenia!G273*Założenia!G291*Założenia!$G$68/1000000</f>
        <v>4.4600826677796329E-2</v>
      </c>
      <c r="I78" s="174">
        <f>Założenia!H281*Założenia!H$292*Założenia!$G77/1000000+Założenia!H273*Założenia!H291*Założenia!$G$68/1000000</f>
        <v>4.4600826677796329E-2</v>
      </c>
      <c r="J78" s="174">
        <f>Założenia!I281*Założenia!I$292*Założenia!$G77/1000000+Założenia!I273*Założenia!I291*Założenia!$G$68/1000000</f>
        <v>4.4600826677796329E-2</v>
      </c>
      <c r="K78" s="174">
        <f>Założenia!J281*Założenia!J$292*Założenia!$G77/1000000+Założenia!J273*Założenia!J291*Założenia!$G$68/1000000</f>
        <v>4.4600826677796329E-2</v>
      </c>
      <c r="L78" s="174">
        <f>Założenia!K281*Założenia!K$292*Założenia!$G77/1000000+Założenia!K273*Założenia!K291*Założenia!$G$68/1000000</f>
        <v>4.4600826677796329E-2</v>
      </c>
      <c r="M78" s="174">
        <f>Założenia!L281*Założenia!L$292*Założenia!$G77/1000000+Założenia!L273*Założenia!L291*Założenia!$G$68/1000000</f>
        <v>4.4600826677796329E-2</v>
      </c>
      <c r="N78" s="174">
        <f>Założenia!M281*Założenia!M$292*Założenia!$G77/1000000+Założenia!M273*Założenia!M291*Założenia!$G$68/1000000</f>
        <v>4.4600826677796329E-2</v>
      </c>
      <c r="O78" s="174">
        <f>Założenia!N281*Założenia!N$292*Założenia!$G77/1000000+Założenia!N273*Założenia!N291*Założenia!$G$68/1000000</f>
        <v>4.4600826677796329E-2</v>
      </c>
      <c r="P78" s="174">
        <f>Założenia!O281*Założenia!O$292*Założenia!$G77/1000000+Założenia!O273*Założenia!O291*Założenia!$G$68/1000000</f>
        <v>4.4600826677796329E-2</v>
      </c>
      <c r="Q78" s="174">
        <f>Założenia!P281*Założenia!P$292*Założenia!$G77/1000000+Założenia!P273*Założenia!P291*Założenia!$G$68/1000000</f>
        <v>4.4600826677796329E-2</v>
      </c>
      <c r="R78" s="174">
        <f>Założenia!Q281*Założenia!Q$292*Założenia!$G77/1000000+Założenia!Q273*Założenia!Q291*Założenia!$G$68/1000000</f>
        <v>4.4600826677796329E-2</v>
      </c>
      <c r="S78" s="174">
        <f>Założenia!R281*Założenia!R$292*Założenia!$G77/1000000+Założenia!R273*Założenia!R291*Założenia!$G$68/1000000</f>
        <v>4.4600826677796329E-2</v>
      </c>
      <c r="T78" s="174">
        <f>Założenia!S281*Założenia!S$292*Założenia!$G77/1000000+Założenia!S273*Założenia!S291*Założenia!$G$68/1000000</f>
        <v>4.4600826677796329E-2</v>
      </c>
      <c r="U78" s="13"/>
    </row>
    <row r="79" spans="1:21" s="32" customFormat="1" ht="12">
      <c r="A79" s="96"/>
      <c r="B79" s="109" t="s">
        <v>431</v>
      </c>
      <c r="C79" s="214" t="s">
        <v>219</v>
      </c>
      <c r="D79" s="214"/>
      <c r="E79" s="174">
        <f>Założenia!D282*Założenia!D$293*Założenia!$J77/1000000</f>
        <v>0</v>
      </c>
      <c r="F79" s="174">
        <f>Założenia!E282*Założenia!E$293*Założenia!$J77/1000000</f>
        <v>0</v>
      </c>
      <c r="G79" s="174">
        <f>Założenia!F282*Założenia!F$293*Założenia!$J77/1000000</f>
        <v>0</v>
      </c>
      <c r="H79" s="174">
        <f>Założenia!G282*Założenia!G$293*Założenia!$J77/1000000</f>
        <v>0</v>
      </c>
      <c r="I79" s="174">
        <f>Założenia!H282*Założenia!H$293*Założenia!$J77/1000000</f>
        <v>0</v>
      </c>
      <c r="J79" s="174">
        <f>Założenia!I282*Założenia!I$293*Założenia!$J77/1000000</f>
        <v>0</v>
      </c>
      <c r="K79" s="174">
        <f>Założenia!J282*Założenia!J$293*Założenia!$J77/1000000</f>
        <v>0</v>
      </c>
      <c r="L79" s="174">
        <f>Założenia!K282*Założenia!K$293*Założenia!$J77/1000000</f>
        <v>0</v>
      </c>
      <c r="M79" s="174">
        <f>Założenia!L282*Założenia!L$293*Założenia!$J77/1000000</f>
        <v>0</v>
      </c>
      <c r="N79" s="174">
        <f>Założenia!M282*Założenia!M$293*Założenia!$J77/1000000</f>
        <v>0</v>
      </c>
      <c r="O79" s="174">
        <f>Założenia!N282*Założenia!N$293*Założenia!$J77/1000000</f>
        <v>0</v>
      </c>
      <c r="P79" s="174">
        <f>Założenia!O282*Założenia!O$293*Założenia!$J77/1000000</f>
        <v>0</v>
      </c>
      <c r="Q79" s="174">
        <f>Założenia!P282*Założenia!P$293*Założenia!$J77/1000000</f>
        <v>0</v>
      </c>
      <c r="R79" s="174">
        <f>Założenia!Q282*Założenia!Q$293*Założenia!$J77/1000000</f>
        <v>0</v>
      </c>
      <c r="S79" s="174">
        <f>Założenia!R282*Założenia!R$293*Założenia!$J77/1000000</f>
        <v>0</v>
      </c>
      <c r="T79" s="174">
        <f>Założenia!S282*Założenia!S$293*Założenia!$J77/1000000</f>
        <v>0</v>
      </c>
      <c r="U79" s="13"/>
    </row>
    <row r="80" spans="1:21" s="1" customFormat="1" ht="12">
      <c r="A80" s="96"/>
      <c r="B80" s="110" t="s">
        <v>342</v>
      </c>
      <c r="C80" s="214" t="s">
        <v>219</v>
      </c>
      <c r="D80" s="300"/>
      <c r="E80" s="174">
        <f>Założenia!D283*Założenia!D$294*Założenia!$E$184*Założenia!$E$123*Założenia!E93/1000000</f>
        <v>0</v>
      </c>
      <c r="F80" s="174">
        <f>Założenia!E283*Założenia!E$294*Założenia!$E$184*Założenia!$E$123*Założenia!F93/1000000</f>
        <v>0</v>
      </c>
      <c r="G80" s="174">
        <f>Założenia!F283*Założenia!F$294*Założenia!$E$184*Założenia!$E$123*Założenia!G93/1000000</f>
        <v>0</v>
      </c>
      <c r="H80" s="174">
        <f>Założenia!G283*Założenia!G$294*Założenia!$E$184*Założenia!$E$123*Założenia!H93/1000000</f>
        <v>0</v>
      </c>
      <c r="I80" s="174">
        <f>Założenia!H283*Założenia!H$294*Założenia!$E$184*Założenia!$E$123*Założenia!I93/1000000</f>
        <v>0</v>
      </c>
      <c r="J80" s="174">
        <f>Założenia!I283*Założenia!I$294*Założenia!$E$184*Założenia!$E$123*Założenia!J93/1000000</f>
        <v>0</v>
      </c>
      <c r="K80" s="174">
        <f>Założenia!J283*Założenia!J$294*Założenia!$E$184*Założenia!$E$123*Założenia!K93/1000000</f>
        <v>0</v>
      </c>
      <c r="L80" s="174">
        <f>Założenia!K283*Założenia!K$294*Założenia!$E$184*Założenia!$E$123*Założenia!L93/1000000</f>
        <v>0</v>
      </c>
      <c r="M80" s="174">
        <f>Założenia!L283*Założenia!L$294*Założenia!$E$184*Założenia!$E$123*Założenia!M93/1000000</f>
        <v>0</v>
      </c>
      <c r="N80" s="174">
        <f>Założenia!M283*Założenia!M$294*Założenia!$E$184*Założenia!$E$123*Założenia!N93/1000000</f>
        <v>0</v>
      </c>
      <c r="O80" s="174">
        <f>Założenia!N283*Założenia!N$294*Założenia!$E$184*Założenia!$E$123*Założenia!O93/1000000</f>
        <v>0</v>
      </c>
      <c r="P80" s="174">
        <f>Założenia!O283*Założenia!O$294*Założenia!$E$184*Założenia!$E$123*Założenia!P93/1000000</f>
        <v>0</v>
      </c>
      <c r="Q80" s="174">
        <f>Założenia!P283*Założenia!P$294*Założenia!$E$184*Założenia!$E$123*Założenia!Q93/1000000</f>
        <v>0</v>
      </c>
      <c r="R80" s="174">
        <f>Założenia!Q283*Założenia!Q$294*Założenia!$E$184*Założenia!$E$123*Założenia!R93/1000000</f>
        <v>0</v>
      </c>
      <c r="S80" s="174">
        <f>Założenia!R283*Założenia!R$294*Założenia!$E$184*Założenia!$E$123*Założenia!S93/1000000</f>
        <v>0</v>
      </c>
      <c r="T80" s="174">
        <f>Założenia!S283*Założenia!S$294*Założenia!$E$184*Założenia!$E$123*Założenia!T93/1000000</f>
        <v>0</v>
      </c>
    </row>
    <row r="81" spans="1:21" s="26" customFormat="1">
      <c r="A81" s="96" t="s">
        <v>61</v>
      </c>
      <c r="B81" s="112" t="s">
        <v>186</v>
      </c>
      <c r="C81" s="214" t="s">
        <v>246</v>
      </c>
      <c r="D81" s="214"/>
      <c r="E81" s="194">
        <f>E82+E90</f>
        <v>0.57933199999999996</v>
      </c>
      <c r="F81" s="194">
        <f t="shared" ref="F81:T81" si="16">F82+F90</f>
        <v>0.57981074681135236</v>
      </c>
      <c r="G81" s="194">
        <f t="shared" si="16"/>
        <v>0.57981074681135236</v>
      </c>
      <c r="H81" s="194">
        <f t="shared" si="16"/>
        <v>0.57981074681135236</v>
      </c>
      <c r="I81" s="194">
        <f t="shared" si="16"/>
        <v>0.57981074681135236</v>
      </c>
      <c r="J81" s="194">
        <f t="shared" si="16"/>
        <v>0.57981074681135236</v>
      </c>
      <c r="K81" s="194">
        <f t="shared" si="16"/>
        <v>0.57981074681135236</v>
      </c>
      <c r="L81" s="194">
        <f t="shared" si="16"/>
        <v>0.57981074681135236</v>
      </c>
      <c r="M81" s="194">
        <f t="shared" si="16"/>
        <v>0.57981074681135236</v>
      </c>
      <c r="N81" s="194">
        <f t="shared" si="16"/>
        <v>0.57981074681135236</v>
      </c>
      <c r="O81" s="194">
        <f t="shared" si="16"/>
        <v>0.57981074681135236</v>
      </c>
      <c r="P81" s="194">
        <f t="shared" si="16"/>
        <v>0.57981074681135236</v>
      </c>
      <c r="Q81" s="194">
        <f t="shared" si="16"/>
        <v>0.57981074681135236</v>
      </c>
      <c r="R81" s="194">
        <f t="shared" si="16"/>
        <v>0.57981074681135236</v>
      </c>
      <c r="S81" s="194">
        <f t="shared" si="16"/>
        <v>0.57981074681135236</v>
      </c>
      <c r="T81" s="194">
        <f t="shared" si="16"/>
        <v>0.57981074681135236</v>
      </c>
      <c r="U81" s="13"/>
    </row>
    <row r="82" spans="1:21" s="26" customFormat="1">
      <c r="A82" s="96"/>
      <c r="B82" s="166" t="s">
        <v>343</v>
      </c>
      <c r="C82" s="214" t="s">
        <v>246</v>
      </c>
      <c r="D82" s="214"/>
      <c r="E82" s="194">
        <f>SUM(E83:E89)</f>
        <v>0.57933199999999996</v>
      </c>
      <c r="F82" s="194">
        <f t="shared" ref="F82:T82" si="17">SUM(F83:F89)</f>
        <v>0.57981074681135236</v>
      </c>
      <c r="G82" s="194">
        <f t="shared" si="17"/>
        <v>0.57981074681135236</v>
      </c>
      <c r="H82" s="194">
        <f t="shared" si="17"/>
        <v>0.57981074681135236</v>
      </c>
      <c r="I82" s="194">
        <f t="shared" si="17"/>
        <v>0.57981074681135236</v>
      </c>
      <c r="J82" s="194">
        <f t="shared" si="17"/>
        <v>0.57981074681135236</v>
      </c>
      <c r="K82" s="194">
        <f t="shared" si="17"/>
        <v>0.57981074681135236</v>
      </c>
      <c r="L82" s="194">
        <f t="shared" si="17"/>
        <v>0.57981074681135236</v>
      </c>
      <c r="M82" s="194">
        <f t="shared" si="17"/>
        <v>0.57981074681135236</v>
      </c>
      <c r="N82" s="194">
        <f t="shared" si="17"/>
        <v>0.57981074681135236</v>
      </c>
      <c r="O82" s="194">
        <f t="shared" si="17"/>
        <v>0.57981074681135236</v>
      </c>
      <c r="P82" s="194">
        <f t="shared" si="17"/>
        <v>0.57981074681135236</v>
      </c>
      <c r="Q82" s="194">
        <f t="shared" si="17"/>
        <v>0.57981074681135236</v>
      </c>
      <c r="R82" s="194">
        <f t="shared" si="17"/>
        <v>0.57981074681135236</v>
      </c>
      <c r="S82" s="194">
        <f t="shared" si="17"/>
        <v>0.57981074681135236</v>
      </c>
      <c r="T82" s="194">
        <f t="shared" si="17"/>
        <v>0.57981074681135236</v>
      </c>
      <c r="U82" s="13"/>
    </row>
    <row r="83" spans="1:21" s="26" customFormat="1">
      <c r="A83" s="96"/>
      <c r="B83" s="109" t="s">
        <v>426</v>
      </c>
      <c r="C83" s="214" t="s">
        <v>246</v>
      </c>
      <c r="D83" s="214"/>
      <c r="E83" s="174">
        <f>Założenia!D276*Założenia!D$292*Założenia!$E72/1000000</f>
        <v>0</v>
      </c>
      <c r="F83" s="174">
        <f>Założenia!E276*Założenia!E$292*Założenia!$E72/1000000</f>
        <v>0</v>
      </c>
      <c r="G83" s="174">
        <f>Założenia!F276*Założenia!F$292*Założenia!$E72/1000000</f>
        <v>0</v>
      </c>
      <c r="H83" s="174">
        <f>Założenia!G276*Założenia!G$292*Założenia!$E72/1000000</f>
        <v>0</v>
      </c>
      <c r="I83" s="174">
        <f>Założenia!H276*Założenia!H$292*Założenia!$E72/1000000</f>
        <v>0</v>
      </c>
      <c r="J83" s="174">
        <f>Założenia!I276*Założenia!I$292*Założenia!$E72/1000000</f>
        <v>0</v>
      </c>
      <c r="K83" s="174">
        <f>Założenia!J276*Założenia!J$292*Założenia!$E72/1000000</f>
        <v>0</v>
      </c>
      <c r="L83" s="174">
        <f>Założenia!K276*Założenia!K$292*Założenia!$E72/1000000</f>
        <v>0</v>
      </c>
      <c r="M83" s="174">
        <f>Założenia!L276*Założenia!L$292*Założenia!$E72/1000000</f>
        <v>0</v>
      </c>
      <c r="N83" s="174">
        <f>Założenia!M276*Założenia!M$292*Założenia!$E72/1000000</f>
        <v>0</v>
      </c>
      <c r="O83" s="174">
        <f>Założenia!N276*Założenia!N$292*Założenia!$E72/1000000</f>
        <v>0</v>
      </c>
      <c r="P83" s="174">
        <f>Założenia!O276*Założenia!O$292*Założenia!$E72/1000000</f>
        <v>0</v>
      </c>
      <c r="Q83" s="174">
        <f>Założenia!P276*Założenia!P$292*Założenia!$E72/1000000</f>
        <v>0</v>
      </c>
      <c r="R83" s="174">
        <f>Założenia!Q276*Założenia!Q$292*Założenia!$E72/1000000</f>
        <v>0</v>
      </c>
      <c r="S83" s="174">
        <f>Założenia!R276*Założenia!R$292*Założenia!$E72/1000000</f>
        <v>0</v>
      </c>
      <c r="T83" s="174">
        <f>Założenia!S276*Założenia!S$292*Założenia!$E72/1000000</f>
        <v>0</v>
      </c>
      <c r="U83" s="13"/>
    </row>
    <row r="84" spans="1:21" s="32" customFormat="1" ht="12">
      <c r="A84" s="96"/>
      <c r="B84" s="109" t="s">
        <v>432</v>
      </c>
      <c r="C84" s="214" t="s">
        <v>246</v>
      </c>
      <c r="D84" s="214"/>
      <c r="E84" s="174">
        <f>Założenia!D277*Założenia!D$292*Założenia!$E73/1000000</f>
        <v>0</v>
      </c>
      <c r="F84" s="174">
        <f>Założenia!E277*Założenia!E$292*Założenia!$E73/1000000</f>
        <v>0</v>
      </c>
      <c r="G84" s="174">
        <f>Założenia!F277*Założenia!F$292*Założenia!$E73/1000000</f>
        <v>0</v>
      </c>
      <c r="H84" s="174">
        <f>Założenia!G277*Założenia!G$292*Założenia!$E73/1000000</f>
        <v>0</v>
      </c>
      <c r="I84" s="174">
        <f>Założenia!H277*Założenia!H$292*Założenia!$E73/1000000</f>
        <v>0</v>
      </c>
      <c r="J84" s="174">
        <f>Założenia!I277*Założenia!I$292*Założenia!$E73/1000000</f>
        <v>0</v>
      </c>
      <c r="K84" s="174">
        <f>Założenia!J277*Założenia!J$292*Założenia!$E73/1000000</f>
        <v>0</v>
      </c>
      <c r="L84" s="174">
        <f>Założenia!K277*Założenia!K$292*Założenia!$E73/1000000</f>
        <v>0</v>
      </c>
      <c r="M84" s="174">
        <f>Założenia!L277*Założenia!L$292*Założenia!$E73/1000000</f>
        <v>0</v>
      </c>
      <c r="N84" s="174">
        <f>Założenia!M277*Założenia!M$292*Założenia!$E73/1000000</f>
        <v>0</v>
      </c>
      <c r="O84" s="174">
        <f>Założenia!N277*Założenia!N$292*Założenia!$E73/1000000</f>
        <v>0</v>
      </c>
      <c r="P84" s="174">
        <f>Założenia!O277*Założenia!O$292*Założenia!$E73/1000000</f>
        <v>0</v>
      </c>
      <c r="Q84" s="174">
        <f>Założenia!P277*Założenia!P$292*Założenia!$E73/1000000</f>
        <v>0</v>
      </c>
      <c r="R84" s="174">
        <f>Założenia!Q277*Założenia!Q$292*Założenia!$E73/1000000</f>
        <v>0</v>
      </c>
      <c r="S84" s="174">
        <f>Założenia!R277*Założenia!R$292*Założenia!$E73/1000000</f>
        <v>0</v>
      </c>
      <c r="T84" s="174">
        <f>Założenia!S277*Założenia!S$292*Założenia!$E73/1000000</f>
        <v>0</v>
      </c>
      <c r="U84" s="13"/>
    </row>
    <row r="85" spans="1:21" s="32" customFormat="1" ht="12">
      <c r="A85" s="96"/>
      <c r="B85" s="109" t="s">
        <v>427</v>
      </c>
      <c r="C85" s="214" t="s">
        <v>246</v>
      </c>
      <c r="D85" s="214"/>
      <c r="E85" s="174">
        <f>Założenia!D278*Założenia!D$292*Założenia!$E74/1000000</f>
        <v>0</v>
      </c>
      <c r="F85" s="174">
        <f>Założenia!E278*Założenia!E$292*Założenia!$E74/1000000</f>
        <v>0</v>
      </c>
      <c r="G85" s="174">
        <f>Założenia!F278*Założenia!F$292*Założenia!$E74/1000000</f>
        <v>0</v>
      </c>
      <c r="H85" s="174">
        <f>Założenia!G278*Założenia!G$292*Założenia!$E74/1000000</f>
        <v>0</v>
      </c>
      <c r="I85" s="174">
        <f>Założenia!H278*Założenia!H$292*Założenia!$E74/1000000</f>
        <v>0</v>
      </c>
      <c r="J85" s="174">
        <f>Założenia!I278*Założenia!I$292*Założenia!$E74/1000000</f>
        <v>0</v>
      </c>
      <c r="K85" s="174">
        <f>Założenia!J278*Założenia!J$292*Założenia!$E74/1000000</f>
        <v>0</v>
      </c>
      <c r="L85" s="174">
        <f>Założenia!K278*Założenia!K$292*Założenia!$E74/1000000</f>
        <v>0</v>
      </c>
      <c r="M85" s="174">
        <f>Założenia!L278*Założenia!L$292*Założenia!$E74/1000000</f>
        <v>0</v>
      </c>
      <c r="N85" s="174">
        <f>Założenia!M278*Założenia!M$292*Założenia!$E74/1000000</f>
        <v>0</v>
      </c>
      <c r="O85" s="174">
        <f>Założenia!N278*Założenia!N$292*Założenia!$E74/1000000</f>
        <v>0</v>
      </c>
      <c r="P85" s="174">
        <f>Założenia!O278*Założenia!O$292*Założenia!$E74/1000000</f>
        <v>0</v>
      </c>
      <c r="Q85" s="174">
        <f>Założenia!P278*Założenia!P$292*Założenia!$E74/1000000</f>
        <v>0</v>
      </c>
      <c r="R85" s="174">
        <f>Założenia!Q278*Założenia!Q$292*Założenia!$E74/1000000</f>
        <v>0</v>
      </c>
      <c r="S85" s="174">
        <f>Założenia!R278*Założenia!R$292*Założenia!$E74/1000000</f>
        <v>0</v>
      </c>
      <c r="T85" s="174">
        <f>Założenia!S278*Założenia!S$292*Założenia!$E74/1000000</f>
        <v>0</v>
      </c>
      <c r="U85" s="13"/>
    </row>
    <row r="86" spans="1:21" s="32" customFormat="1" ht="12">
      <c r="A86" s="96"/>
      <c r="B86" s="109" t="s">
        <v>428</v>
      </c>
      <c r="C86" s="214" t="s">
        <v>246</v>
      </c>
      <c r="D86" s="214"/>
      <c r="E86" s="174">
        <f>Założenia!D279*Założenia!D$292*Założenia!$E75/1000000</f>
        <v>0</v>
      </c>
      <c r="F86" s="174">
        <f>Założenia!E279*Założenia!E$292*Założenia!$E75/1000000</f>
        <v>0</v>
      </c>
      <c r="G86" s="174">
        <f>Założenia!F279*Założenia!F$292*Założenia!$E75/1000000</f>
        <v>0</v>
      </c>
      <c r="H86" s="174">
        <f>Założenia!G279*Założenia!G$292*Założenia!$E75/1000000</f>
        <v>0</v>
      </c>
      <c r="I86" s="174">
        <f>Założenia!H279*Założenia!H$292*Założenia!$E75/1000000</f>
        <v>0</v>
      </c>
      <c r="J86" s="174">
        <f>Założenia!I279*Założenia!I$292*Założenia!$E75/1000000</f>
        <v>0</v>
      </c>
      <c r="K86" s="174">
        <f>Założenia!J279*Założenia!J$292*Założenia!$E75/1000000</f>
        <v>0</v>
      </c>
      <c r="L86" s="174">
        <f>Założenia!K279*Założenia!K$292*Założenia!$E75/1000000</f>
        <v>0</v>
      </c>
      <c r="M86" s="174">
        <f>Założenia!L279*Założenia!L$292*Założenia!$E75/1000000</f>
        <v>0</v>
      </c>
      <c r="N86" s="174">
        <f>Założenia!M279*Założenia!M$292*Założenia!$E75/1000000</f>
        <v>0</v>
      </c>
      <c r="O86" s="174">
        <f>Założenia!N279*Założenia!N$292*Założenia!$E75/1000000</f>
        <v>0</v>
      </c>
      <c r="P86" s="174">
        <f>Założenia!O279*Założenia!O$292*Założenia!$E75/1000000</f>
        <v>0</v>
      </c>
      <c r="Q86" s="174">
        <f>Założenia!P279*Założenia!P$292*Założenia!$E75/1000000</f>
        <v>0</v>
      </c>
      <c r="R86" s="174">
        <f>Założenia!Q279*Założenia!Q$292*Założenia!$E75/1000000</f>
        <v>0</v>
      </c>
      <c r="S86" s="174">
        <f>Założenia!R279*Założenia!R$292*Założenia!$E75/1000000</f>
        <v>0</v>
      </c>
      <c r="T86" s="174">
        <f>Założenia!S279*Założenia!S$292*Założenia!$E75/1000000</f>
        <v>0</v>
      </c>
      <c r="U86" s="13"/>
    </row>
    <row r="87" spans="1:21" s="32" customFormat="1" ht="12">
      <c r="A87" s="96"/>
      <c r="B87" s="109" t="s">
        <v>429</v>
      </c>
      <c r="C87" s="214" t="s">
        <v>246</v>
      </c>
      <c r="D87" s="214"/>
      <c r="E87" s="174">
        <f>+Założenia!D280*Założenia!D$292*Założenia!$E76/1000000</f>
        <v>0</v>
      </c>
      <c r="F87" s="174">
        <f>+Założenia!E280*Założenia!E$292*Założenia!$E76/1000000</f>
        <v>0</v>
      </c>
      <c r="G87" s="174">
        <f>+Założenia!F280*Założenia!F$292*Założenia!$E76/1000000</f>
        <v>0</v>
      </c>
      <c r="H87" s="174">
        <f>+Założenia!G280*Założenia!G$292*Założenia!$E76/1000000</f>
        <v>0</v>
      </c>
      <c r="I87" s="174">
        <f>+Założenia!H280*Założenia!H$292*Założenia!$E76/1000000</f>
        <v>0</v>
      </c>
      <c r="J87" s="174">
        <f>+Założenia!I280*Założenia!I$292*Założenia!$E76/1000000</f>
        <v>0</v>
      </c>
      <c r="K87" s="174">
        <f>+Założenia!J280*Założenia!J$292*Założenia!$E76/1000000</f>
        <v>0</v>
      </c>
      <c r="L87" s="174">
        <f>+Założenia!K280*Założenia!K$292*Założenia!$E76/1000000</f>
        <v>0</v>
      </c>
      <c r="M87" s="174">
        <f>+Założenia!L280*Założenia!L$292*Założenia!$E76/1000000</f>
        <v>0</v>
      </c>
      <c r="N87" s="174">
        <f>+Założenia!M280*Założenia!M$292*Założenia!$E76/1000000</f>
        <v>0</v>
      </c>
      <c r="O87" s="174">
        <f>+Założenia!N280*Założenia!N$292*Założenia!$E76/1000000</f>
        <v>0</v>
      </c>
      <c r="P87" s="174">
        <f>+Założenia!O280*Założenia!O$292*Założenia!$E76/1000000</f>
        <v>0</v>
      </c>
      <c r="Q87" s="174">
        <f>+Założenia!P280*Założenia!P$292*Założenia!$E76/1000000</f>
        <v>0</v>
      </c>
      <c r="R87" s="174">
        <f>+Założenia!Q280*Założenia!Q$292*Założenia!$E76/1000000</f>
        <v>0</v>
      </c>
      <c r="S87" s="174">
        <f>+Założenia!R280*Założenia!R$292*Założenia!$E76/1000000</f>
        <v>0</v>
      </c>
      <c r="T87" s="174">
        <f>+Założenia!S280*Założenia!S$292*Założenia!$E76/1000000</f>
        <v>0</v>
      </c>
      <c r="U87" s="13"/>
    </row>
    <row r="88" spans="1:21" s="32" customFormat="1" ht="12">
      <c r="A88" s="96"/>
      <c r="B88" s="109" t="s">
        <v>430</v>
      </c>
      <c r="C88" s="214" t="s">
        <v>246</v>
      </c>
      <c r="D88" s="214"/>
      <c r="E88" s="174">
        <f>Założenia!D281*Założenia!D$292*Założenia!$E77/1000000+Założenia!D273*Założenia!D291*Założenia!$E$68/1000000</f>
        <v>0.57933199999999996</v>
      </c>
      <c r="F88" s="174">
        <f>Założenia!E281*Założenia!E$292*Założenia!$E77/1000000+Założenia!E273*Założenia!E291*Założenia!$E$68/1000000</f>
        <v>0.57981074681135236</v>
      </c>
      <c r="G88" s="174">
        <f>Założenia!F281*Założenia!F$292*Założenia!$E77/1000000+Założenia!F273*Założenia!F291*Założenia!$E$68/1000000</f>
        <v>0.57981074681135236</v>
      </c>
      <c r="H88" s="174">
        <f>Założenia!G281*Założenia!G$292*Założenia!$E77/1000000+Założenia!G273*Założenia!G291*Założenia!$E$68/1000000</f>
        <v>0.57981074681135236</v>
      </c>
      <c r="I88" s="174">
        <f>Założenia!H281*Założenia!H$292*Założenia!$E77/1000000+Założenia!H273*Założenia!H291*Założenia!$E$68/1000000</f>
        <v>0.57981074681135236</v>
      </c>
      <c r="J88" s="174">
        <f>Założenia!I281*Założenia!I$292*Założenia!$E77/1000000+Założenia!I273*Założenia!I291*Założenia!$E$68/1000000</f>
        <v>0.57981074681135236</v>
      </c>
      <c r="K88" s="174">
        <f>Założenia!J281*Założenia!J$292*Założenia!$E77/1000000+Założenia!J273*Założenia!J291*Założenia!$E$68/1000000</f>
        <v>0.57981074681135236</v>
      </c>
      <c r="L88" s="174">
        <f>Założenia!K281*Założenia!K$292*Założenia!$E77/1000000+Założenia!K273*Założenia!K291*Założenia!$E$68/1000000</f>
        <v>0.57981074681135236</v>
      </c>
      <c r="M88" s="174">
        <f>Założenia!L281*Założenia!L$292*Założenia!$E77/1000000+Założenia!L273*Założenia!L291*Założenia!$E$68/1000000</f>
        <v>0.57981074681135236</v>
      </c>
      <c r="N88" s="174">
        <f>Założenia!M281*Założenia!M$292*Założenia!$E77/1000000+Założenia!M273*Założenia!M291*Założenia!$E$68/1000000</f>
        <v>0.57981074681135236</v>
      </c>
      <c r="O88" s="174">
        <f>Założenia!N281*Założenia!N$292*Założenia!$E77/1000000+Założenia!N273*Założenia!N291*Założenia!$E$68/1000000</f>
        <v>0.57981074681135236</v>
      </c>
      <c r="P88" s="174">
        <f>Założenia!O281*Założenia!O$292*Założenia!$E77/1000000+Założenia!O273*Założenia!O291*Założenia!$E$68/1000000</f>
        <v>0.57981074681135236</v>
      </c>
      <c r="Q88" s="174">
        <f>Założenia!P281*Założenia!P$292*Założenia!$E77/1000000+Założenia!P273*Założenia!P291*Założenia!$E$68/1000000</f>
        <v>0.57981074681135236</v>
      </c>
      <c r="R88" s="174">
        <f>Założenia!Q281*Założenia!Q$292*Założenia!$E77/1000000+Założenia!Q273*Założenia!Q291*Założenia!$E$68/1000000</f>
        <v>0.57981074681135236</v>
      </c>
      <c r="S88" s="174">
        <f>Założenia!R281*Założenia!R$292*Założenia!$E77/1000000+Założenia!R273*Założenia!R291*Założenia!$E$68/1000000</f>
        <v>0.57981074681135236</v>
      </c>
      <c r="T88" s="174">
        <f>Założenia!S281*Założenia!S$292*Założenia!$E77/1000000+Założenia!S273*Założenia!S291*Założenia!$E$68/1000000</f>
        <v>0.57981074681135236</v>
      </c>
      <c r="U88" s="13"/>
    </row>
    <row r="89" spans="1:21" s="32" customFormat="1" ht="12">
      <c r="A89" s="96"/>
      <c r="B89" s="109" t="s">
        <v>431</v>
      </c>
      <c r="C89" s="214" t="s">
        <v>246</v>
      </c>
      <c r="D89" s="214"/>
      <c r="E89" s="174">
        <f>Założenia!D282*Założenia!D$293*Założenia!$H77/1000000</f>
        <v>0</v>
      </c>
      <c r="F89" s="174">
        <f>Założenia!E282*Założenia!E$293*Założenia!$H77/1000000</f>
        <v>0</v>
      </c>
      <c r="G89" s="174">
        <f>Założenia!F282*Założenia!F$293*Założenia!$H77/1000000</f>
        <v>0</v>
      </c>
      <c r="H89" s="174">
        <f>Założenia!G282*Założenia!G$293*Założenia!$H77/1000000</f>
        <v>0</v>
      </c>
      <c r="I89" s="174">
        <f>Założenia!H282*Założenia!H$293*Założenia!$H77/1000000</f>
        <v>0</v>
      </c>
      <c r="J89" s="174">
        <f>Założenia!I282*Założenia!I$293*Założenia!$H77/1000000</f>
        <v>0</v>
      </c>
      <c r="K89" s="174">
        <f>Założenia!J282*Założenia!J$293*Założenia!$H77/1000000</f>
        <v>0</v>
      </c>
      <c r="L89" s="174">
        <f>Założenia!K282*Założenia!K$293*Założenia!$H77/1000000</f>
        <v>0</v>
      </c>
      <c r="M89" s="174">
        <f>Założenia!L282*Założenia!L$293*Założenia!$H77/1000000</f>
        <v>0</v>
      </c>
      <c r="N89" s="174">
        <f>Założenia!M282*Założenia!M$293*Założenia!$H77/1000000</f>
        <v>0</v>
      </c>
      <c r="O89" s="174">
        <f>Założenia!N282*Założenia!N$293*Założenia!$H77/1000000</f>
        <v>0</v>
      </c>
      <c r="P89" s="174">
        <f>Założenia!O282*Założenia!O$293*Założenia!$H77/1000000</f>
        <v>0</v>
      </c>
      <c r="Q89" s="174">
        <f>Założenia!P282*Założenia!P$293*Założenia!$H77/1000000</f>
        <v>0</v>
      </c>
      <c r="R89" s="174">
        <f>Założenia!Q282*Założenia!Q$293*Założenia!$H77/1000000</f>
        <v>0</v>
      </c>
      <c r="S89" s="174">
        <f>Założenia!R282*Założenia!R$293*Założenia!$H77/1000000</f>
        <v>0</v>
      </c>
      <c r="T89" s="174">
        <f>Założenia!S282*Założenia!S$293*Założenia!$H77/1000000</f>
        <v>0</v>
      </c>
      <c r="U89" s="13"/>
    </row>
    <row r="90" spans="1:21" s="1" customFormat="1" ht="12">
      <c r="A90" s="96"/>
      <c r="B90" s="110" t="s">
        <v>342</v>
      </c>
      <c r="C90" s="214" t="s">
        <v>246</v>
      </c>
      <c r="D90" s="300"/>
      <c r="E90" s="174">
        <f>Założenia!D283*Założenia!D$294*Założenia!$E$184*Założenia!$E$123*Założenia!E90/1000000</f>
        <v>0</v>
      </c>
      <c r="F90" s="174">
        <f>Założenia!E283*Założenia!E$294*Założenia!$E$184*Założenia!$E$123*Założenia!F90/1000000</f>
        <v>0</v>
      </c>
      <c r="G90" s="174">
        <f>Założenia!F283*Założenia!F$294*Założenia!$E$184*Założenia!$E$123*Założenia!G90/1000000</f>
        <v>0</v>
      </c>
      <c r="H90" s="174">
        <f>Założenia!G283*Założenia!G$294*Założenia!$E$184*Założenia!$E$123*Założenia!H90/1000000</f>
        <v>0</v>
      </c>
      <c r="I90" s="174">
        <f>Założenia!H283*Założenia!H$294*Założenia!$E$184*Założenia!$E$123*Założenia!I90/1000000</f>
        <v>0</v>
      </c>
      <c r="J90" s="174">
        <f>Założenia!I283*Założenia!I$294*Założenia!$E$184*Założenia!$E$123*Założenia!J90/1000000</f>
        <v>0</v>
      </c>
      <c r="K90" s="174">
        <f>Założenia!J283*Założenia!J$294*Założenia!$E$184*Założenia!$E$123*Założenia!K90/1000000</f>
        <v>0</v>
      </c>
      <c r="L90" s="174">
        <f>Założenia!K283*Założenia!K$294*Założenia!$E$184*Założenia!$E$123*Założenia!L90/1000000</f>
        <v>0</v>
      </c>
      <c r="M90" s="174">
        <f>Założenia!L283*Założenia!L$294*Założenia!$E$184*Założenia!$E$123*Założenia!M90/1000000</f>
        <v>0</v>
      </c>
      <c r="N90" s="174">
        <f>Założenia!M283*Założenia!M$294*Założenia!$E$184*Założenia!$E$123*Założenia!N90/1000000</f>
        <v>0</v>
      </c>
      <c r="O90" s="174">
        <f>Założenia!N283*Założenia!N$294*Założenia!$E$184*Założenia!$E$123*Założenia!O90/1000000</f>
        <v>0</v>
      </c>
      <c r="P90" s="174">
        <f>Założenia!O283*Założenia!O$294*Założenia!$E$184*Założenia!$E$123*Założenia!P90/1000000</f>
        <v>0</v>
      </c>
      <c r="Q90" s="174">
        <f>Założenia!P283*Założenia!P$294*Założenia!$E$184*Założenia!$E$123*Założenia!Q90/1000000</f>
        <v>0</v>
      </c>
      <c r="R90" s="174">
        <f>Założenia!Q283*Założenia!Q$294*Założenia!$E$184*Założenia!$E$123*Założenia!R90/1000000</f>
        <v>0</v>
      </c>
      <c r="S90" s="174">
        <f>Założenia!R283*Założenia!R$294*Założenia!$E$184*Założenia!$E$123*Założenia!S90/1000000</f>
        <v>0</v>
      </c>
      <c r="T90" s="174">
        <f>Założenia!S283*Założenia!S$294*Założenia!$E$184*Założenia!$E$123*Założenia!T90/1000000</f>
        <v>0</v>
      </c>
    </row>
    <row r="91" spans="1:21" s="26" customFormat="1">
      <c r="A91" s="108" t="s">
        <v>30</v>
      </c>
      <c r="B91" s="166" t="s">
        <v>161</v>
      </c>
      <c r="C91" s="214" t="s">
        <v>0</v>
      </c>
      <c r="D91" s="301"/>
      <c r="E91" s="107">
        <f>E95+E99+E107+E103</f>
        <v>747171.99006582634</v>
      </c>
      <c r="F91" s="107">
        <f t="shared" ref="F91:T91" si="18">F95+F99+F107+F103</f>
        <v>778215.27616428293</v>
      </c>
      <c r="G91" s="107">
        <f t="shared" si="18"/>
        <v>808103.0823933793</v>
      </c>
      <c r="H91" s="107">
        <f t="shared" si="18"/>
        <v>833416.70504552557</v>
      </c>
      <c r="I91" s="107">
        <f t="shared" si="18"/>
        <v>858307.58262687316</v>
      </c>
      <c r="J91" s="107">
        <f t="shared" si="18"/>
        <v>884069.70969147212</v>
      </c>
      <c r="K91" s="107">
        <f t="shared" si="18"/>
        <v>910737.81801011821</v>
      </c>
      <c r="L91" s="107">
        <f t="shared" si="18"/>
        <v>937617.34534559958</v>
      </c>
      <c r="M91" s="107">
        <f t="shared" si="18"/>
        <v>964678.45036533265</v>
      </c>
      <c r="N91" s="107">
        <f t="shared" si="18"/>
        <v>991113.39608878084</v>
      </c>
      <c r="O91" s="107">
        <f t="shared" si="18"/>
        <v>1016821.9657549257</v>
      </c>
      <c r="P91" s="107">
        <f t="shared" si="18"/>
        <v>1042542.4737611293</v>
      </c>
      <c r="Q91" s="107">
        <f t="shared" si="18"/>
        <v>1068231.8073830998</v>
      </c>
      <c r="R91" s="107">
        <f t="shared" si="18"/>
        <v>1093843.7167594391</v>
      </c>
      <c r="S91" s="107">
        <f t="shared" si="18"/>
        <v>1119328.2961817551</v>
      </c>
      <c r="T91" s="107">
        <f t="shared" si="18"/>
        <v>1145529.280835385</v>
      </c>
      <c r="U91" s="13"/>
    </row>
    <row r="92" spans="1:21" s="26" customFormat="1">
      <c r="A92" s="96" t="s">
        <v>51</v>
      </c>
      <c r="B92" s="166" t="s">
        <v>456</v>
      </c>
      <c r="C92" s="214"/>
      <c r="D92" s="214"/>
      <c r="E92" s="172"/>
      <c r="F92" s="172"/>
      <c r="G92" s="172"/>
      <c r="H92" s="172"/>
      <c r="I92" s="172"/>
      <c r="J92" s="172"/>
      <c r="K92" s="172"/>
      <c r="L92" s="172"/>
      <c r="M92" s="172"/>
      <c r="N92" s="172"/>
      <c r="O92" s="172"/>
      <c r="P92" s="172"/>
      <c r="Q92" s="172"/>
      <c r="R92" s="172"/>
      <c r="S92" s="172"/>
      <c r="T92" s="172"/>
      <c r="U92" s="13"/>
    </row>
    <row r="93" spans="1:21" s="26" customFormat="1">
      <c r="A93" s="96"/>
      <c r="B93" s="112" t="s">
        <v>162</v>
      </c>
      <c r="C93" s="214" t="s">
        <v>146</v>
      </c>
      <c r="D93" s="214"/>
      <c r="E93" s="173">
        <f>Założenia!E26</f>
        <v>0.35782385425306568</v>
      </c>
      <c r="F93" s="173">
        <f>Założenia!F26</f>
        <v>0.37238288766487126</v>
      </c>
      <c r="G93" s="173">
        <f>Założenia!G26</f>
        <v>0.3866844670998264</v>
      </c>
      <c r="H93" s="173">
        <f>Założenia!H26</f>
        <v>0.39879725926567333</v>
      </c>
      <c r="I93" s="173">
        <f>Założenia!I26</f>
        <v>0.4107077641788387</v>
      </c>
      <c r="J93" s="173">
        <f>Założenia!J26</f>
        <v>0.42303516967001475</v>
      </c>
      <c r="K93" s="173">
        <f>Założenia!K26</f>
        <v>0.4357960951984936</v>
      </c>
      <c r="L93" s="173">
        <f>Założenia!L26</f>
        <v>0.4486581865950911</v>
      </c>
      <c r="M93" s="173">
        <f>Założenia!M26</f>
        <v>0.46160716451842254</v>
      </c>
      <c r="N93" s="173">
        <f>Założenia!N26</f>
        <v>0.47425651968436211</v>
      </c>
      <c r="O93" s="173">
        <f>Założenia!O26</f>
        <v>0.48655829748702706</v>
      </c>
      <c r="P93" s="173">
        <f>Założenia!P26</f>
        <v>0.49886578789092351</v>
      </c>
      <c r="Q93" s="173">
        <f>Założenia!Q26</f>
        <v>0.51115836107643908</v>
      </c>
      <c r="R93" s="173">
        <f>Założenia!R26</f>
        <v>0.52341388607612926</v>
      </c>
      <c r="S93" s="173">
        <f>Założenia!S26</f>
        <v>0.53560848256745219</v>
      </c>
      <c r="T93" s="173">
        <f>Założenia!T26</f>
        <v>0.54814588529368946</v>
      </c>
      <c r="U93" s="13"/>
    </row>
    <row r="94" spans="1:21" s="26" customFormat="1">
      <c r="A94" s="96"/>
      <c r="B94" s="112" t="s">
        <v>77</v>
      </c>
      <c r="C94" s="214" t="s">
        <v>136</v>
      </c>
      <c r="D94" s="214"/>
      <c r="E94" s="106">
        <f>(Założenia!D276+Założenia!D277+Założenia!D278+Założenia!D279+Założenia!D280)*Założenia!D292</f>
        <v>0</v>
      </c>
      <c r="F94" s="106">
        <f>(Założenia!E276+Założenia!E277+Założenia!E278+Założenia!E279+Założenia!E280)*Założenia!E292</f>
        <v>0</v>
      </c>
      <c r="G94" s="106">
        <f>(Założenia!F276+Założenia!F277+Założenia!F278+Założenia!F279+Założenia!F280)*Założenia!F292</f>
        <v>0</v>
      </c>
      <c r="H94" s="106">
        <f>(Założenia!G276+Założenia!G277+Założenia!G278+Założenia!G279+Założenia!G280)*Założenia!G292</f>
        <v>0</v>
      </c>
      <c r="I94" s="106">
        <f>(Założenia!H276+Założenia!H277+Założenia!H278+Założenia!H279+Założenia!H280)*Założenia!H292</f>
        <v>0</v>
      </c>
      <c r="J94" s="106">
        <f>(Założenia!I276+Założenia!I277+Założenia!I278+Założenia!I279+Założenia!I280)*Założenia!I292</f>
        <v>0</v>
      </c>
      <c r="K94" s="106">
        <f>(Założenia!J276+Założenia!J277+Założenia!J278+Założenia!J279+Założenia!J280)*Założenia!J292</f>
        <v>0</v>
      </c>
      <c r="L94" s="106">
        <f>(Założenia!K276+Założenia!K277+Założenia!K278+Założenia!K279+Założenia!K280)*Założenia!K292</f>
        <v>0</v>
      </c>
      <c r="M94" s="106">
        <f>(Założenia!L276+Założenia!L277+Założenia!L278+Założenia!L279+Założenia!L280)*Założenia!L292</f>
        <v>0</v>
      </c>
      <c r="N94" s="106">
        <f>(Założenia!M276+Założenia!M277+Założenia!M278+Założenia!M279+Założenia!M280)*Założenia!M292</f>
        <v>0</v>
      </c>
      <c r="O94" s="106">
        <f>(Założenia!N276+Założenia!N277+Założenia!N278+Założenia!N279+Założenia!N280)*Założenia!N292</f>
        <v>0</v>
      </c>
      <c r="P94" s="106">
        <f>(Założenia!O276+Założenia!O277+Założenia!O278+Założenia!O279+Założenia!O280)*Założenia!O292</f>
        <v>0</v>
      </c>
      <c r="Q94" s="106">
        <f>(Założenia!P276+Założenia!P277+Założenia!P278+Założenia!P279+Założenia!P280)*Założenia!P292</f>
        <v>0</v>
      </c>
      <c r="R94" s="106">
        <f>(Założenia!Q276+Założenia!Q277+Założenia!Q278+Założenia!Q279+Założenia!Q280)*Założenia!Q292</f>
        <v>0</v>
      </c>
      <c r="S94" s="106">
        <f>(Założenia!R276+Założenia!R277+Założenia!R278+Założenia!R279+Założenia!R280)*Założenia!R292</f>
        <v>0</v>
      </c>
      <c r="T94" s="106">
        <f>(Założenia!S276+Założenia!S277+Założenia!S278+Założenia!S279+Założenia!S280)*Założenia!S292</f>
        <v>0</v>
      </c>
      <c r="U94" s="13"/>
    </row>
    <row r="95" spans="1:21" s="26" customFormat="1">
      <c r="A95" s="96"/>
      <c r="B95" s="112" t="s">
        <v>163</v>
      </c>
      <c r="C95" s="214" t="s">
        <v>0</v>
      </c>
      <c r="D95" s="214"/>
      <c r="E95" s="106">
        <f>E93*E94</f>
        <v>0</v>
      </c>
      <c r="F95" s="106">
        <f t="shared" ref="F95:T95" si="19">F93*F94</f>
        <v>0</v>
      </c>
      <c r="G95" s="106">
        <f t="shared" si="19"/>
        <v>0</v>
      </c>
      <c r="H95" s="106">
        <f t="shared" si="19"/>
        <v>0</v>
      </c>
      <c r="I95" s="106">
        <f t="shared" si="19"/>
        <v>0</v>
      </c>
      <c r="J95" s="106">
        <f t="shared" si="19"/>
        <v>0</v>
      </c>
      <c r="K95" s="106">
        <f t="shared" si="19"/>
        <v>0</v>
      </c>
      <c r="L95" s="106">
        <f t="shared" si="19"/>
        <v>0</v>
      </c>
      <c r="M95" s="106">
        <f t="shared" si="19"/>
        <v>0</v>
      </c>
      <c r="N95" s="106">
        <f t="shared" si="19"/>
        <v>0</v>
      </c>
      <c r="O95" s="106">
        <f t="shared" si="19"/>
        <v>0</v>
      </c>
      <c r="P95" s="106">
        <f t="shared" si="19"/>
        <v>0</v>
      </c>
      <c r="Q95" s="106">
        <f t="shared" si="19"/>
        <v>0</v>
      </c>
      <c r="R95" s="106">
        <f t="shared" si="19"/>
        <v>0</v>
      </c>
      <c r="S95" s="106">
        <f t="shared" si="19"/>
        <v>0</v>
      </c>
      <c r="T95" s="106">
        <f t="shared" si="19"/>
        <v>0</v>
      </c>
      <c r="U95" s="13"/>
    </row>
    <row r="96" spans="1:21" s="26" customFormat="1">
      <c r="A96" s="96" t="s">
        <v>52</v>
      </c>
      <c r="B96" s="166" t="s">
        <v>434</v>
      </c>
      <c r="C96" s="214"/>
      <c r="D96" s="214"/>
      <c r="E96" s="172"/>
      <c r="F96" s="172"/>
      <c r="G96" s="172"/>
      <c r="H96" s="172"/>
      <c r="I96" s="172"/>
      <c r="J96" s="172"/>
      <c r="K96" s="172"/>
      <c r="L96" s="172"/>
      <c r="M96" s="172"/>
      <c r="N96" s="172"/>
      <c r="O96" s="172"/>
      <c r="P96" s="172"/>
      <c r="Q96" s="172"/>
      <c r="R96" s="172"/>
      <c r="S96" s="172"/>
      <c r="T96" s="172"/>
      <c r="U96" s="13"/>
    </row>
    <row r="97" spans="1:21" s="26" customFormat="1">
      <c r="A97" s="96"/>
      <c r="B97" s="112" t="s">
        <v>162</v>
      </c>
      <c r="C97" s="214" t="s">
        <v>146</v>
      </c>
      <c r="D97" s="214"/>
      <c r="E97" s="173">
        <f>E93*(1-Założenia!$E$29)</f>
        <v>0.33993266154041235</v>
      </c>
      <c r="F97" s="173">
        <f>F93*(1-Założenia!$E$29)</f>
        <v>0.35376374328162769</v>
      </c>
      <c r="G97" s="173">
        <f>G93*(1-Założenia!$E$29)</f>
        <v>0.36735024374483505</v>
      </c>
      <c r="H97" s="173">
        <f>H93*(1-Założenia!$E$29)</f>
        <v>0.37885739630238963</v>
      </c>
      <c r="I97" s="173">
        <f>I93*(1-Założenia!$E$29)</f>
        <v>0.39017237596989673</v>
      </c>
      <c r="J97" s="173">
        <f>J93*(1-Założenia!$E$29)</f>
        <v>0.40188341118651399</v>
      </c>
      <c r="K97" s="173">
        <f>K93*(1-Założenia!$E$29)</f>
        <v>0.4140062904385689</v>
      </c>
      <c r="L97" s="173">
        <f>L93*(1-Założenia!$E$29)</f>
        <v>0.42622527726533654</v>
      </c>
      <c r="M97" s="173">
        <f>M93*(1-Założenia!$E$29)</f>
        <v>0.4385268062925014</v>
      </c>
      <c r="N97" s="173">
        <f>N93*(1-Założenia!$E$29)</f>
        <v>0.45054369370014397</v>
      </c>
      <c r="O97" s="173">
        <f>O93*(1-Założenia!$E$29)</f>
        <v>0.46223038261267568</v>
      </c>
      <c r="P97" s="173">
        <f>P93*(1-Założenia!$E$29)</f>
        <v>0.4739224984963773</v>
      </c>
      <c r="Q97" s="173">
        <f>Q93*(1-Założenia!$E$29)</f>
        <v>0.48560044302261712</v>
      </c>
      <c r="R97" s="173">
        <f>R93*(1-Założenia!$E$29)</f>
        <v>0.49724319177232279</v>
      </c>
      <c r="S97" s="173">
        <f>S93*(1-Założenia!$E$29)</f>
        <v>0.50882805843907952</v>
      </c>
      <c r="T97" s="173">
        <f>T93*(1-Założenia!$E$29)</f>
        <v>0.52073859102900499</v>
      </c>
      <c r="U97" s="13"/>
    </row>
    <row r="98" spans="1:21" s="26" customFormat="1">
      <c r="A98" s="96"/>
      <c r="B98" s="112" t="s">
        <v>77</v>
      </c>
      <c r="C98" s="214" t="s">
        <v>136</v>
      </c>
      <c r="D98" s="214"/>
      <c r="E98" s="106">
        <f>Założenia!D281*Założenia!D292+Założenia!D273*Założenia!D291</f>
        <v>2198000</v>
      </c>
      <c r="F98" s="106">
        <f>Założenia!E281*Założenia!E292+Założenia!E273*Założenia!E291</f>
        <v>2199816.3772954927</v>
      </c>
      <c r="G98" s="106">
        <f>Założenia!F281*Założenia!F292+Założenia!F273*Założenia!F291</f>
        <v>2199816.3772954927</v>
      </c>
      <c r="H98" s="106">
        <f>Założenia!G281*Założenia!G292+Założenia!G273*Założenia!G291</f>
        <v>2199816.3772954927</v>
      </c>
      <c r="I98" s="106">
        <f>Założenia!H281*Założenia!H292+Założenia!H273*Założenia!H291</f>
        <v>2199816.3772954927</v>
      </c>
      <c r="J98" s="106">
        <f>Założenia!I281*Założenia!I292+Założenia!I273*Założenia!I291</f>
        <v>2199816.3772954927</v>
      </c>
      <c r="K98" s="106">
        <f>Założenia!J281*Założenia!J292+Założenia!J273*Założenia!J291</f>
        <v>2199816.3772954927</v>
      </c>
      <c r="L98" s="106">
        <f>Założenia!K281*Założenia!K292+Założenia!K273*Założenia!K291</f>
        <v>2199816.3772954927</v>
      </c>
      <c r="M98" s="106">
        <f>Założenia!L281*Założenia!L292+Założenia!L273*Założenia!L291</f>
        <v>2199816.3772954927</v>
      </c>
      <c r="N98" s="106">
        <f>Założenia!M281*Założenia!M292+Założenia!M273*Założenia!M291</f>
        <v>2199816.3772954927</v>
      </c>
      <c r="O98" s="106">
        <f>Założenia!N281*Założenia!N292+Założenia!N273*Założenia!N291</f>
        <v>2199816.3772954927</v>
      </c>
      <c r="P98" s="106">
        <f>Założenia!O281*Założenia!O292+Założenia!O273*Założenia!O291</f>
        <v>2199816.3772954927</v>
      </c>
      <c r="Q98" s="106">
        <f>Założenia!P281*Założenia!P292+Założenia!P273*Założenia!P291</f>
        <v>2199816.3772954927</v>
      </c>
      <c r="R98" s="106">
        <f>Założenia!Q281*Założenia!Q292+Założenia!Q273*Założenia!Q291</f>
        <v>2199816.3772954927</v>
      </c>
      <c r="S98" s="106">
        <f>Założenia!R281*Założenia!R292+Założenia!R273*Założenia!R291</f>
        <v>2199816.3772954927</v>
      </c>
      <c r="T98" s="106">
        <f>Założenia!S281*Założenia!S292+Założenia!S273*Założenia!S291</f>
        <v>2199816.3772954927</v>
      </c>
      <c r="U98" s="13"/>
    </row>
    <row r="99" spans="1:21" s="26" customFormat="1">
      <c r="A99" s="96"/>
      <c r="B99" s="112" t="s">
        <v>163</v>
      </c>
      <c r="C99" s="214" t="s">
        <v>0</v>
      </c>
      <c r="D99" s="214"/>
      <c r="E99" s="106">
        <f>E97*E98</f>
        <v>747171.99006582634</v>
      </c>
      <c r="F99" s="106">
        <f t="shared" ref="F99:T99" si="20">F97*F98</f>
        <v>778215.27616428293</v>
      </c>
      <c r="G99" s="106">
        <f t="shared" si="20"/>
        <v>808103.0823933793</v>
      </c>
      <c r="H99" s="106">
        <f t="shared" si="20"/>
        <v>833416.70504552557</v>
      </c>
      <c r="I99" s="106">
        <f t="shared" si="20"/>
        <v>858307.58262687316</v>
      </c>
      <c r="J99" s="106">
        <f t="shared" si="20"/>
        <v>884069.70969147212</v>
      </c>
      <c r="K99" s="106">
        <f t="shared" si="20"/>
        <v>910737.81801011821</v>
      </c>
      <c r="L99" s="106">
        <f t="shared" si="20"/>
        <v>937617.34534559958</v>
      </c>
      <c r="M99" s="106">
        <f t="shared" si="20"/>
        <v>964678.45036533265</v>
      </c>
      <c r="N99" s="106">
        <f t="shared" si="20"/>
        <v>991113.39608878084</v>
      </c>
      <c r="O99" s="106">
        <f t="shared" si="20"/>
        <v>1016821.9657549257</v>
      </c>
      <c r="P99" s="106">
        <f t="shared" si="20"/>
        <v>1042542.4737611293</v>
      </c>
      <c r="Q99" s="106">
        <f t="shared" si="20"/>
        <v>1068231.8073830998</v>
      </c>
      <c r="R99" s="106">
        <f t="shared" si="20"/>
        <v>1093843.7167594391</v>
      </c>
      <c r="S99" s="106">
        <f t="shared" si="20"/>
        <v>1119328.2961817551</v>
      </c>
      <c r="T99" s="106">
        <f t="shared" si="20"/>
        <v>1145529.280835385</v>
      </c>
      <c r="U99" s="13"/>
    </row>
    <row r="100" spans="1:21" s="26" customFormat="1">
      <c r="A100" s="96" t="s">
        <v>58</v>
      </c>
      <c r="B100" s="166" t="s">
        <v>435</v>
      </c>
      <c r="C100" s="214"/>
      <c r="D100" s="214"/>
      <c r="E100" s="172"/>
      <c r="F100" s="172"/>
      <c r="G100" s="172"/>
      <c r="H100" s="172"/>
      <c r="I100" s="172"/>
      <c r="J100" s="172"/>
      <c r="K100" s="172"/>
      <c r="L100" s="172"/>
      <c r="M100" s="172"/>
      <c r="N100" s="172"/>
      <c r="O100" s="172"/>
      <c r="P100" s="172"/>
      <c r="Q100" s="172"/>
      <c r="R100" s="172"/>
      <c r="S100" s="172"/>
      <c r="T100" s="172"/>
      <c r="U100" s="13"/>
    </row>
    <row r="101" spans="1:21" s="26" customFormat="1">
      <c r="A101" s="96"/>
      <c r="B101" s="112" t="s">
        <v>162</v>
      </c>
      <c r="C101" s="214" t="s">
        <v>146</v>
      </c>
      <c r="D101" s="214"/>
      <c r="E101" s="173">
        <f>E97*(1-Założenia!$E$30)</f>
        <v>0.3059393953863711</v>
      </c>
      <c r="F101" s="173">
        <f>F97*(1-Założenia!$E$30)</f>
        <v>0.31838736895346492</v>
      </c>
      <c r="G101" s="173">
        <f>G97*(1-Założenia!$E$30)</f>
        <v>0.33061521937035154</v>
      </c>
      <c r="H101" s="173">
        <f>H97*(1-Założenia!$E$30)</f>
        <v>0.34097165667215068</v>
      </c>
      <c r="I101" s="173">
        <f>I97*(1-Założenia!$E$30)</f>
        <v>0.35115513837290707</v>
      </c>
      <c r="J101" s="173">
        <f>J97*(1-Założenia!$E$30)</f>
        <v>0.36169507006786261</v>
      </c>
      <c r="K101" s="173">
        <f>K97*(1-Założenia!$E$30)</f>
        <v>0.37260566139471202</v>
      </c>
      <c r="L101" s="173">
        <f>L97*(1-Założenia!$E$30)</f>
        <v>0.38360274953880291</v>
      </c>
      <c r="M101" s="173">
        <f>M97*(1-Założenia!$E$30)</f>
        <v>0.39467412566325127</v>
      </c>
      <c r="N101" s="173">
        <f>N97*(1-Założenia!$E$30)</f>
        <v>0.40548932433012957</v>
      </c>
      <c r="O101" s="173">
        <f>O97*(1-Założenia!$E$30)</f>
        <v>0.41600734435140813</v>
      </c>
      <c r="P101" s="173">
        <f>P97*(1-Założenia!$E$30)</f>
        <v>0.42653024864673955</v>
      </c>
      <c r="Q101" s="173">
        <f>Q97*(1-Założenia!$E$30)</f>
        <v>0.43704039872035544</v>
      </c>
      <c r="R101" s="173">
        <f>R97*(1-Założenia!$E$30)</f>
        <v>0.44751887259509054</v>
      </c>
      <c r="S101" s="173">
        <f>S97*(1-Założenia!$E$30)</f>
        <v>0.4579452525951716</v>
      </c>
      <c r="T101" s="173">
        <f>T97*(1-Założenia!$E$30)</f>
        <v>0.46866473192610453</v>
      </c>
      <c r="U101" s="13"/>
    </row>
    <row r="102" spans="1:21" s="26" customFormat="1">
      <c r="A102" s="96"/>
      <c r="B102" s="112" t="s">
        <v>77</v>
      </c>
      <c r="C102" s="214" t="s">
        <v>136</v>
      </c>
      <c r="D102" s="214"/>
      <c r="E102" s="106">
        <f>Założenia!D282*Założenia!D293</f>
        <v>0</v>
      </c>
      <c r="F102" s="106">
        <f>Założenia!E282*Założenia!E293</f>
        <v>0</v>
      </c>
      <c r="G102" s="106">
        <f>Założenia!F282*Założenia!F293</f>
        <v>0</v>
      </c>
      <c r="H102" s="106">
        <f>Założenia!G282*Założenia!G293</f>
        <v>0</v>
      </c>
      <c r="I102" s="106">
        <f>Założenia!H282*Założenia!H293</f>
        <v>0</v>
      </c>
      <c r="J102" s="106">
        <f>Założenia!I282*Założenia!I293</f>
        <v>0</v>
      </c>
      <c r="K102" s="106">
        <f>Założenia!J282*Założenia!J293</f>
        <v>0</v>
      </c>
      <c r="L102" s="106">
        <f>Założenia!K282*Założenia!K293</f>
        <v>0</v>
      </c>
      <c r="M102" s="106">
        <f>Założenia!L282*Założenia!L293</f>
        <v>0</v>
      </c>
      <c r="N102" s="106">
        <f>Założenia!M282*Założenia!M293</f>
        <v>0</v>
      </c>
      <c r="O102" s="106">
        <f>Założenia!N282*Założenia!N293</f>
        <v>0</v>
      </c>
      <c r="P102" s="106">
        <f>Założenia!O282*Założenia!O293</f>
        <v>0</v>
      </c>
      <c r="Q102" s="106">
        <f>Założenia!P282*Założenia!P293</f>
        <v>0</v>
      </c>
      <c r="R102" s="106">
        <f>Założenia!Q282*Założenia!Q293</f>
        <v>0</v>
      </c>
      <c r="S102" s="106">
        <f>Założenia!R282*Założenia!R293</f>
        <v>0</v>
      </c>
      <c r="T102" s="106">
        <f>Założenia!S282*Założenia!S293</f>
        <v>0</v>
      </c>
      <c r="U102" s="13"/>
    </row>
    <row r="103" spans="1:21" s="26" customFormat="1">
      <c r="A103" s="96"/>
      <c r="B103" s="112" t="s">
        <v>163</v>
      </c>
      <c r="C103" s="214" t="s">
        <v>0</v>
      </c>
      <c r="D103" s="214"/>
      <c r="E103" s="106">
        <f>E101*E102</f>
        <v>0</v>
      </c>
      <c r="F103" s="106">
        <f t="shared" ref="F103:T103" si="21">F101*F102</f>
        <v>0</v>
      </c>
      <c r="G103" s="106">
        <f t="shared" si="21"/>
        <v>0</v>
      </c>
      <c r="H103" s="106">
        <f t="shared" si="21"/>
        <v>0</v>
      </c>
      <c r="I103" s="106">
        <f t="shared" si="21"/>
        <v>0</v>
      </c>
      <c r="J103" s="106">
        <f t="shared" si="21"/>
        <v>0</v>
      </c>
      <c r="K103" s="106">
        <f t="shared" si="21"/>
        <v>0</v>
      </c>
      <c r="L103" s="106">
        <f t="shared" si="21"/>
        <v>0</v>
      </c>
      <c r="M103" s="106">
        <f t="shared" si="21"/>
        <v>0</v>
      </c>
      <c r="N103" s="106">
        <f t="shared" si="21"/>
        <v>0</v>
      </c>
      <c r="O103" s="106">
        <f t="shared" si="21"/>
        <v>0</v>
      </c>
      <c r="P103" s="106">
        <f t="shared" si="21"/>
        <v>0</v>
      </c>
      <c r="Q103" s="106">
        <f t="shared" si="21"/>
        <v>0</v>
      </c>
      <c r="R103" s="106">
        <f t="shared" si="21"/>
        <v>0</v>
      </c>
      <c r="S103" s="106">
        <f t="shared" si="21"/>
        <v>0</v>
      </c>
      <c r="T103" s="106">
        <f t="shared" si="21"/>
        <v>0</v>
      </c>
      <c r="U103" s="13"/>
    </row>
    <row r="104" spans="1:21" s="26" customFormat="1">
      <c r="A104" s="96" t="s">
        <v>361</v>
      </c>
      <c r="B104" s="166" t="s">
        <v>229</v>
      </c>
      <c r="C104" s="214"/>
      <c r="D104" s="214"/>
      <c r="E104" s="172"/>
      <c r="F104" s="172"/>
      <c r="G104" s="172"/>
      <c r="H104" s="172"/>
      <c r="I104" s="172"/>
      <c r="J104" s="172"/>
      <c r="K104" s="172"/>
      <c r="L104" s="172"/>
      <c r="M104" s="172"/>
      <c r="N104" s="172"/>
      <c r="O104" s="172"/>
      <c r="P104" s="172"/>
      <c r="Q104" s="172"/>
      <c r="R104" s="172"/>
      <c r="S104" s="172"/>
      <c r="T104" s="172"/>
      <c r="U104" s="13"/>
    </row>
    <row r="105" spans="1:21" s="26" customFormat="1">
      <c r="A105" s="96"/>
      <c r="B105" s="112" t="s">
        <v>162</v>
      </c>
      <c r="C105" s="214" t="s">
        <v>146</v>
      </c>
      <c r="D105" s="214"/>
      <c r="E105" s="173">
        <f>E93*(1-Założenia!$E$28)</f>
        <v>7.1564770850613121E-2</v>
      </c>
      <c r="F105" s="173">
        <f>F93*(1-Założenia!$E$28)</f>
        <v>7.4476577532974236E-2</v>
      </c>
      <c r="G105" s="173">
        <f>G93*(1-Założenia!$E$28)</f>
        <v>7.7336893419965261E-2</v>
      </c>
      <c r="H105" s="173">
        <f>H93*(1-Założenia!$E$28)</f>
        <v>7.9759451853134655E-2</v>
      </c>
      <c r="I105" s="173">
        <f>I93*(1-Założenia!$E$28)</f>
        <v>8.2141552835767725E-2</v>
      </c>
      <c r="J105" s="173">
        <f>J93*(1-Założenia!$E$28)</f>
        <v>8.4607033934002929E-2</v>
      </c>
      <c r="K105" s="173">
        <f>K93*(1-Założenia!$E$28)</f>
        <v>8.7159219039698699E-2</v>
      </c>
      <c r="L105" s="173">
        <f>L93*(1-Założenia!$E$28)</f>
        <v>8.9731637319018204E-2</v>
      </c>
      <c r="M105" s="173">
        <f>M93*(1-Założenia!$E$28)</f>
        <v>9.2321432903684483E-2</v>
      </c>
      <c r="N105" s="173">
        <f>N93*(1-Założenia!$E$28)</f>
        <v>9.4851303936872397E-2</v>
      </c>
      <c r="O105" s="173">
        <f>O93*(1-Założenia!$E$28)</f>
        <v>9.7311659497405389E-2</v>
      </c>
      <c r="P105" s="173">
        <f>P93*(1-Założenia!$E$28)</f>
        <v>9.9773157578184682E-2</v>
      </c>
      <c r="Q105" s="173">
        <f>Q93*(1-Założenia!$E$28)</f>
        <v>0.1022316722152878</v>
      </c>
      <c r="R105" s="173">
        <f>R93*(1-Założenia!$E$28)</f>
        <v>0.10468277721522583</v>
      </c>
      <c r="S105" s="173">
        <f>S93*(1-Założenia!$E$28)</f>
        <v>0.10712169651349042</v>
      </c>
      <c r="T105" s="173">
        <f>T93*(1-Założenia!$E$28)</f>
        <v>0.10962917705873787</v>
      </c>
      <c r="U105" s="13"/>
    </row>
    <row r="106" spans="1:21" s="26" customFormat="1">
      <c r="A106" s="96"/>
      <c r="B106" s="112" t="s">
        <v>77</v>
      </c>
      <c r="C106" s="214" t="s">
        <v>136</v>
      </c>
      <c r="D106" s="214"/>
      <c r="E106" s="106">
        <f>Założenia!D283*Założenia!D294</f>
        <v>0</v>
      </c>
      <c r="F106" s="106">
        <f>Założenia!E283*Założenia!E294</f>
        <v>0</v>
      </c>
      <c r="G106" s="106">
        <f>Założenia!F283*Założenia!F294</f>
        <v>0</v>
      </c>
      <c r="H106" s="106">
        <f>Założenia!G283*Założenia!G294</f>
        <v>0</v>
      </c>
      <c r="I106" s="106">
        <f>Założenia!H283*Założenia!H294</f>
        <v>0</v>
      </c>
      <c r="J106" s="106">
        <f>Założenia!I283*Założenia!I294</f>
        <v>0</v>
      </c>
      <c r="K106" s="106">
        <f>Założenia!J283*Założenia!J294</f>
        <v>0</v>
      </c>
      <c r="L106" s="106">
        <f>Założenia!K283*Założenia!K294</f>
        <v>0</v>
      </c>
      <c r="M106" s="106">
        <f>Założenia!L283*Założenia!L294</f>
        <v>0</v>
      </c>
      <c r="N106" s="106">
        <f>Założenia!M283*Założenia!M294</f>
        <v>0</v>
      </c>
      <c r="O106" s="106">
        <f>Założenia!N283*Założenia!N294</f>
        <v>0</v>
      </c>
      <c r="P106" s="106">
        <f>Założenia!O283*Założenia!O294</f>
        <v>0</v>
      </c>
      <c r="Q106" s="106">
        <f>Założenia!P283*Założenia!P294</f>
        <v>0</v>
      </c>
      <c r="R106" s="106">
        <f>Założenia!Q283*Założenia!Q294</f>
        <v>0</v>
      </c>
      <c r="S106" s="106">
        <f>Założenia!R283*Założenia!R294</f>
        <v>0</v>
      </c>
      <c r="T106" s="106">
        <f>Założenia!S283*Założenia!S294</f>
        <v>0</v>
      </c>
      <c r="U106" s="13"/>
    </row>
    <row r="107" spans="1:21" s="26" customFormat="1">
      <c r="A107" s="96"/>
      <c r="B107" s="112" t="s">
        <v>163</v>
      </c>
      <c r="C107" s="214" t="s">
        <v>0</v>
      </c>
      <c r="D107" s="214"/>
      <c r="E107" s="106">
        <f>E105*E106</f>
        <v>0</v>
      </c>
      <c r="F107" s="106">
        <f t="shared" ref="F107:T107" si="22">F105*F106</f>
        <v>0</v>
      </c>
      <c r="G107" s="106">
        <f t="shared" si="22"/>
        <v>0</v>
      </c>
      <c r="H107" s="106">
        <f t="shared" si="22"/>
        <v>0</v>
      </c>
      <c r="I107" s="106">
        <f t="shared" si="22"/>
        <v>0</v>
      </c>
      <c r="J107" s="106">
        <f t="shared" si="22"/>
        <v>0</v>
      </c>
      <c r="K107" s="106">
        <f t="shared" si="22"/>
        <v>0</v>
      </c>
      <c r="L107" s="106">
        <f t="shared" si="22"/>
        <v>0</v>
      </c>
      <c r="M107" s="106">
        <f t="shared" si="22"/>
        <v>0</v>
      </c>
      <c r="N107" s="106">
        <f t="shared" si="22"/>
        <v>0</v>
      </c>
      <c r="O107" s="106">
        <f t="shared" si="22"/>
        <v>0</v>
      </c>
      <c r="P107" s="106">
        <f t="shared" si="22"/>
        <v>0</v>
      </c>
      <c r="Q107" s="106">
        <f t="shared" si="22"/>
        <v>0</v>
      </c>
      <c r="R107" s="106">
        <f t="shared" si="22"/>
        <v>0</v>
      </c>
      <c r="S107" s="106">
        <f t="shared" si="22"/>
        <v>0</v>
      </c>
      <c r="T107" s="106">
        <f t="shared" si="22"/>
        <v>0</v>
      </c>
      <c r="U107" s="13"/>
    </row>
    <row r="108" spans="1:21" s="42" customFormat="1">
      <c r="A108" s="114"/>
      <c r="B108" s="115"/>
      <c r="C108" s="151"/>
      <c r="D108" s="151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6"/>
    </row>
    <row r="109" spans="1:21" s="1" customFormat="1" ht="12">
      <c r="A109" s="269" t="s">
        <v>27</v>
      </c>
      <c r="B109" s="95" t="s">
        <v>227</v>
      </c>
    </row>
    <row r="110" spans="1:21">
      <c r="A110" s="96" t="s">
        <v>34</v>
      </c>
      <c r="B110" s="112" t="s">
        <v>82</v>
      </c>
      <c r="C110" s="214" t="s">
        <v>0</v>
      </c>
      <c r="D110" s="300">
        <f t="shared" ref="D110:D115" si="23">SUM(E110:T110)</f>
        <v>36140000</v>
      </c>
      <c r="E110" s="40">
        <f>E111+E112</f>
        <v>0</v>
      </c>
      <c r="F110" s="40">
        <f t="shared" ref="F110:T110" si="24">F111+F112</f>
        <v>0</v>
      </c>
      <c r="G110" s="40">
        <f t="shared" si="24"/>
        <v>0</v>
      </c>
      <c r="H110" s="40">
        <f t="shared" si="24"/>
        <v>0</v>
      </c>
      <c r="I110" s="40">
        <f t="shared" si="24"/>
        <v>0</v>
      </c>
      <c r="J110" s="40">
        <f t="shared" si="24"/>
        <v>0</v>
      </c>
      <c r="K110" s="40">
        <f t="shared" si="24"/>
        <v>18070000</v>
      </c>
      <c r="L110" s="40">
        <f t="shared" si="24"/>
        <v>0</v>
      </c>
      <c r="M110" s="40">
        <f t="shared" si="24"/>
        <v>0</v>
      </c>
      <c r="N110" s="40">
        <f t="shared" si="24"/>
        <v>0</v>
      </c>
      <c r="O110" s="40">
        <f t="shared" si="24"/>
        <v>0</v>
      </c>
      <c r="P110" s="40">
        <f t="shared" si="24"/>
        <v>0</v>
      </c>
      <c r="Q110" s="40">
        <f t="shared" si="24"/>
        <v>-11700000</v>
      </c>
      <c r="R110" s="40">
        <f t="shared" si="24"/>
        <v>0</v>
      </c>
      <c r="S110" s="40">
        <f t="shared" si="24"/>
        <v>29770000</v>
      </c>
      <c r="T110" s="40">
        <f t="shared" si="24"/>
        <v>0</v>
      </c>
      <c r="U110" s="1"/>
    </row>
    <row r="111" spans="1:21" s="45" customFormat="1" ht="12">
      <c r="A111" s="96"/>
      <c r="B111" s="112" t="s">
        <v>221</v>
      </c>
      <c r="C111" s="214" t="s">
        <v>0</v>
      </c>
      <c r="D111" s="300">
        <f>SUM(E111:T111)</f>
        <v>36140000</v>
      </c>
      <c r="E111" s="233">
        <f>Opcje!E40-'Scenariusz bazowy'!E111</f>
        <v>0</v>
      </c>
      <c r="F111" s="233">
        <f>Opcje!F40-'Scenariusz bazowy'!F111</f>
        <v>0</v>
      </c>
      <c r="G111" s="233">
        <f>Opcje!G40-'Scenariusz bazowy'!G111</f>
        <v>0</v>
      </c>
      <c r="H111" s="233">
        <f>Opcje!H40-'Scenariusz bazowy'!H111</f>
        <v>0</v>
      </c>
      <c r="I111" s="233">
        <f>Opcje!I40-'Scenariusz bazowy'!I111</f>
        <v>0</v>
      </c>
      <c r="J111" s="233">
        <f>Opcje!J40-'Scenariusz bazowy'!J111</f>
        <v>0</v>
      </c>
      <c r="K111" s="233">
        <f>Opcje!K40-'Scenariusz bazowy'!K111</f>
        <v>18070000</v>
      </c>
      <c r="L111" s="233">
        <f>Opcje!L40-'Scenariusz bazowy'!L111</f>
        <v>0</v>
      </c>
      <c r="M111" s="233">
        <f>Opcje!M40-'Scenariusz bazowy'!M111</f>
        <v>0</v>
      </c>
      <c r="N111" s="233">
        <f>Opcje!N40-'Scenariusz bazowy'!N111</f>
        <v>0</v>
      </c>
      <c r="O111" s="233">
        <f>Opcje!O40-'Scenariusz bazowy'!O111</f>
        <v>0</v>
      </c>
      <c r="P111" s="233">
        <f>Opcje!P40-'Scenariusz bazowy'!P111</f>
        <v>0</v>
      </c>
      <c r="Q111" s="233">
        <f>Opcje!Q40-'Scenariusz bazowy'!Q111</f>
        <v>-11700000</v>
      </c>
      <c r="R111" s="233">
        <f>Opcje!R40-'Scenariusz bazowy'!R111</f>
        <v>0</v>
      </c>
      <c r="S111" s="233">
        <f>Opcje!S40-'Scenariusz bazowy'!S111</f>
        <v>29770000</v>
      </c>
      <c r="T111" s="233">
        <f>Opcje!T40-'Scenariusz bazowy'!T111</f>
        <v>0</v>
      </c>
      <c r="U111" s="1"/>
    </row>
    <row r="112" spans="1:21" s="27" customFormat="1" ht="12">
      <c r="A112" s="96"/>
      <c r="B112" s="112" t="s">
        <v>222</v>
      </c>
      <c r="C112" s="214" t="s">
        <v>0</v>
      </c>
      <c r="D112" s="300">
        <f>SUM(E112:T112)</f>
        <v>0</v>
      </c>
      <c r="E112" s="233">
        <f>Opcje!E41-'Scenariusz bazowy'!E112</f>
        <v>0</v>
      </c>
      <c r="F112" s="233">
        <f>Opcje!F41-'Scenariusz bazowy'!F112</f>
        <v>0</v>
      </c>
      <c r="G112" s="233">
        <f>Opcje!G41-'Scenariusz bazowy'!G112</f>
        <v>0</v>
      </c>
      <c r="H112" s="233">
        <f>Opcje!H41-'Scenariusz bazowy'!H112</f>
        <v>0</v>
      </c>
      <c r="I112" s="233">
        <f>Opcje!I41-'Scenariusz bazowy'!I112</f>
        <v>0</v>
      </c>
      <c r="J112" s="233">
        <f>Opcje!J41-'Scenariusz bazowy'!J112</f>
        <v>0</v>
      </c>
      <c r="K112" s="233">
        <f>Opcje!K41-'Scenariusz bazowy'!K112</f>
        <v>0</v>
      </c>
      <c r="L112" s="233">
        <f>Opcje!L41-'Scenariusz bazowy'!L112</f>
        <v>0</v>
      </c>
      <c r="M112" s="233">
        <f>Opcje!M41-'Scenariusz bazowy'!M112</f>
        <v>0</v>
      </c>
      <c r="N112" s="233">
        <f>Opcje!N41-'Scenariusz bazowy'!N112</f>
        <v>0</v>
      </c>
      <c r="O112" s="233">
        <f>Opcje!O41-'Scenariusz bazowy'!O112</f>
        <v>0</v>
      </c>
      <c r="P112" s="233">
        <f>Opcje!P41-'Scenariusz bazowy'!P112</f>
        <v>0</v>
      </c>
      <c r="Q112" s="233">
        <f>Opcje!Q41-'Scenariusz bazowy'!Q112</f>
        <v>0</v>
      </c>
      <c r="R112" s="233">
        <f>Opcje!R41-'Scenariusz bazowy'!R112</f>
        <v>0</v>
      </c>
      <c r="S112" s="233">
        <f>Opcje!S41-'Scenariusz bazowy'!S112</f>
        <v>0</v>
      </c>
      <c r="T112" s="233">
        <f>Opcje!T41-'Scenariusz bazowy'!T112</f>
        <v>0</v>
      </c>
      <c r="U112" s="1"/>
    </row>
    <row r="113" spans="1:35" s="45" customFormat="1" ht="12">
      <c r="A113" s="96" t="s">
        <v>35</v>
      </c>
      <c r="B113" s="112" t="s">
        <v>223</v>
      </c>
      <c r="C113" s="214" t="s">
        <v>0</v>
      </c>
      <c r="D113" s="300">
        <f t="shared" si="23"/>
        <v>0</v>
      </c>
      <c r="E113" s="40">
        <f>SUM(E114:E116)</f>
        <v>0</v>
      </c>
      <c r="F113" s="40">
        <f t="shared" ref="F113:T113" si="25">SUM(F114:F116)</f>
        <v>0</v>
      </c>
      <c r="G113" s="40">
        <f t="shared" si="25"/>
        <v>0</v>
      </c>
      <c r="H113" s="40">
        <f t="shared" si="25"/>
        <v>0</v>
      </c>
      <c r="I113" s="40">
        <f t="shared" si="25"/>
        <v>0</v>
      </c>
      <c r="J113" s="40">
        <f t="shared" si="25"/>
        <v>0</v>
      </c>
      <c r="K113" s="40">
        <f t="shared" si="25"/>
        <v>0</v>
      </c>
      <c r="L113" s="40">
        <f t="shared" si="25"/>
        <v>0</v>
      </c>
      <c r="M113" s="40">
        <f t="shared" si="25"/>
        <v>0</v>
      </c>
      <c r="N113" s="40">
        <f t="shared" si="25"/>
        <v>0</v>
      </c>
      <c r="O113" s="40">
        <f t="shared" si="25"/>
        <v>0</v>
      </c>
      <c r="P113" s="40">
        <f t="shared" si="25"/>
        <v>0</v>
      </c>
      <c r="Q113" s="40">
        <f t="shared" si="25"/>
        <v>0</v>
      </c>
      <c r="R113" s="40">
        <f t="shared" si="25"/>
        <v>0</v>
      </c>
      <c r="S113" s="40">
        <f t="shared" si="25"/>
        <v>0</v>
      </c>
      <c r="T113" s="40">
        <f t="shared" si="25"/>
        <v>0</v>
      </c>
      <c r="U113" s="1"/>
    </row>
    <row r="114" spans="1:35">
      <c r="A114" s="96"/>
      <c r="B114" s="112" t="s">
        <v>221</v>
      </c>
      <c r="C114" s="214" t="s">
        <v>0</v>
      </c>
      <c r="D114" s="300">
        <f>SUM(E114:T114)</f>
        <v>0</v>
      </c>
      <c r="E114" s="233"/>
      <c r="F114" s="233"/>
      <c r="G114" s="233"/>
      <c r="H114" s="233"/>
      <c r="I114" s="233"/>
      <c r="J114" s="233"/>
      <c r="K114" s="233"/>
      <c r="L114" s="233"/>
      <c r="M114" s="233"/>
      <c r="N114" s="233"/>
      <c r="O114" s="233"/>
      <c r="P114" s="233"/>
      <c r="Q114" s="233"/>
      <c r="R114" s="233"/>
      <c r="S114" s="233"/>
      <c r="T114" s="233"/>
      <c r="U114" s="1"/>
    </row>
    <row r="115" spans="1:35" s="45" customFormat="1" ht="12">
      <c r="A115" s="96"/>
      <c r="B115" s="112" t="s">
        <v>222</v>
      </c>
      <c r="C115" s="214" t="s">
        <v>0</v>
      </c>
      <c r="D115" s="300">
        <f t="shared" si="23"/>
        <v>0</v>
      </c>
      <c r="E115" s="233"/>
      <c r="F115" s="233"/>
      <c r="G115" s="233"/>
      <c r="H115" s="233"/>
      <c r="I115" s="233"/>
      <c r="J115" s="233"/>
      <c r="K115" s="233"/>
      <c r="L115" s="233"/>
      <c r="M115" s="233"/>
      <c r="N115" s="233"/>
      <c r="O115" s="233"/>
      <c r="P115" s="233"/>
      <c r="Q115" s="233"/>
      <c r="R115" s="233"/>
      <c r="S115" s="233"/>
      <c r="T115" s="233"/>
      <c r="U115" s="1"/>
    </row>
    <row r="116" spans="1:35">
      <c r="A116" s="1"/>
      <c r="B116" s="112" t="s">
        <v>244</v>
      </c>
      <c r="C116" s="214" t="s">
        <v>0</v>
      </c>
      <c r="D116" s="300">
        <f t="shared" ref="D116" si="26">SUM(E116:T116)</f>
        <v>0</v>
      </c>
      <c r="E116" s="233">
        <f>Opcje!E42</f>
        <v>0</v>
      </c>
      <c r="F116" s="233">
        <f>Opcje!F42</f>
        <v>0</v>
      </c>
      <c r="G116" s="233">
        <f>Opcje!G42</f>
        <v>0</v>
      </c>
      <c r="H116" s="233">
        <f>Opcje!H42</f>
        <v>0</v>
      </c>
      <c r="I116" s="233">
        <f>Opcje!I42</f>
        <v>0</v>
      </c>
      <c r="J116" s="233">
        <f>Opcje!J42</f>
        <v>0</v>
      </c>
      <c r="K116" s="233">
        <f>Opcje!K42</f>
        <v>0</v>
      </c>
      <c r="L116" s="233">
        <f>Opcje!L42</f>
        <v>0</v>
      </c>
      <c r="M116" s="233">
        <f>Opcje!M42</f>
        <v>0</v>
      </c>
      <c r="N116" s="233">
        <f>Opcje!N42</f>
        <v>0</v>
      </c>
      <c r="O116" s="233">
        <f>Opcje!O42</f>
        <v>0</v>
      </c>
      <c r="P116" s="233">
        <f>Opcje!P42</f>
        <v>0</v>
      </c>
      <c r="Q116" s="233">
        <f>Opcje!Q42</f>
        <v>0</v>
      </c>
      <c r="R116" s="233">
        <f>Opcje!R42</f>
        <v>0</v>
      </c>
      <c r="S116" s="233">
        <f>Opcje!S42</f>
        <v>0</v>
      </c>
      <c r="T116" s="233">
        <f>Opcje!T42</f>
        <v>0</v>
      </c>
      <c r="U116" s="1"/>
    </row>
    <row r="117" spans="1:35" s="1" customFormat="1" ht="12">
      <c r="A117" s="3"/>
      <c r="B117" s="17"/>
      <c r="C117" s="17"/>
      <c r="D117" s="17"/>
      <c r="E117" s="17"/>
      <c r="F117" s="306"/>
      <c r="G117" s="17"/>
      <c r="H117" s="307"/>
      <c r="I117" s="308"/>
    </row>
    <row r="118" spans="1:35" s="1" customFormat="1" ht="12">
      <c r="A118" s="3"/>
      <c r="B118" s="17"/>
      <c r="C118" s="17"/>
      <c r="D118" s="17"/>
      <c r="E118" s="17"/>
      <c r="F118" s="306"/>
      <c r="G118" s="17"/>
      <c r="H118" s="307"/>
      <c r="I118" s="308"/>
    </row>
    <row r="119" spans="1:35" s="1" customFormat="1" ht="12">
      <c r="A119" s="292"/>
      <c r="B119" s="292"/>
      <c r="C119" s="292"/>
      <c r="D119" s="292"/>
      <c r="E119" s="292"/>
      <c r="F119" s="292"/>
      <c r="G119" s="309"/>
      <c r="H119" s="309"/>
      <c r="I119" s="309"/>
    </row>
    <row r="120" spans="1:35" s="1" customFormat="1" ht="12">
      <c r="A120" s="3"/>
      <c r="B120" s="310"/>
      <c r="C120" s="17"/>
      <c r="D120" s="17"/>
      <c r="E120" s="17"/>
      <c r="F120" s="306"/>
      <c r="G120" s="17"/>
      <c r="H120" s="17"/>
      <c r="I120" s="308"/>
    </row>
    <row r="121" spans="1:35" s="6" customFormat="1" ht="12">
      <c r="A121" s="96"/>
      <c r="B121" s="195"/>
      <c r="C121" s="323"/>
      <c r="D121" s="324"/>
      <c r="E121" s="325">
        <v>1</v>
      </c>
      <c r="F121" s="325">
        <f>E121+1</f>
        <v>2</v>
      </c>
      <c r="G121" s="325">
        <f t="shared" ref="G121:T122" si="27">F121+1</f>
        <v>3</v>
      </c>
      <c r="H121" s="325">
        <f t="shared" si="27"/>
        <v>4</v>
      </c>
      <c r="I121" s="325">
        <f t="shared" si="27"/>
        <v>5</v>
      </c>
      <c r="J121" s="325">
        <f t="shared" si="27"/>
        <v>6</v>
      </c>
      <c r="K121" s="325">
        <f t="shared" si="27"/>
        <v>7</v>
      </c>
      <c r="L121" s="325">
        <f t="shared" si="27"/>
        <v>8</v>
      </c>
      <c r="M121" s="325">
        <f t="shared" si="27"/>
        <v>9</v>
      </c>
      <c r="N121" s="325">
        <f t="shared" si="27"/>
        <v>10</v>
      </c>
      <c r="O121" s="325">
        <f t="shared" si="27"/>
        <v>11</v>
      </c>
      <c r="P121" s="325">
        <f t="shared" si="27"/>
        <v>12</v>
      </c>
      <c r="Q121" s="325">
        <f t="shared" si="27"/>
        <v>13</v>
      </c>
      <c r="R121" s="325">
        <f t="shared" si="27"/>
        <v>14</v>
      </c>
      <c r="S121" s="325">
        <f t="shared" si="27"/>
        <v>15</v>
      </c>
      <c r="T121" s="325">
        <f t="shared" si="27"/>
        <v>16</v>
      </c>
      <c r="U121" s="326"/>
      <c r="V121" s="231"/>
      <c r="W121" s="231"/>
      <c r="X121" s="231"/>
      <c r="Y121" s="231"/>
      <c r="Z121" s="231"/>
      <c r="AA121" s="231"/>
      <c r="AB121" s="231"/>
      <c r="AC121" s="231"/>
      <c r="AD121" s="231"/>
      <c r="AE121" s="231"/>
      <c r="AF121" s="231"/>
      <c r="AG121" s="231"/>
      <c r="AH121" s="231"/>
      <c r="AI121" s="196"/>
    </row>
    <row r="122" spans="1:35" s="6" customFormat="1">
      <c r="A122" s="269" t="s">
        <v>249</v>
      </c>
      <c r="B122" s="95" t="s">
        <v>389</v>
      </c>
      <c r="C122" s="323"/>
      <c r="D122" s="324"/>
      <c r="E122" s="298">
        <f>T5+1</f>
        <v>2037</v>
      </c>
      <c r="F122" s="298">
        <f>E122+1</f>
        <v>2038</v>
      </c>
      <c r="G122" s="298">
        <f t="shared" si="27"/>
        <v>2039</v>
      </c>
      <c r="H122" s="298">
        <f t="shared" si="27"/>
        <v>2040</v>
      </c>
      <c r="I122" s="298">
        <f t="shared" si="27"/>
        <v>2041</v>
      </c>
      <c r="J122" s="298">
        <f t="shared" si="27"/>
        <v>2042</v>
      </c>
      <c r="K122" s="298">
        <f t="shared" si="27"/>
        <v>2043</v>
      </c>
      <c r="L122" s="298">
        <f t="shared" si="27"/>
        <v>2044</v>
      </c>
      <c r="M122" s="298">
        <f t="shared" si="27"/>
        <v>2045</v>
      </c>
      <c r="N122" s="298">
        <f t="shared" si="27"/>
        <v>2046</v>
      </c>
      <c r="O122" s="298">
        <f t="shared" si="27"/>
        <v>2047</v>
      </c>
      <c r="P122" s="298">
        <f t="shared" si="27"/>
        <v>2048</v>
      </c>
      <c r="Q122" s="298">
        <f t="shared" si="27"/>
        <v>2049</v>
      </c>
      <c r="R122" s="298">
        <f t="shared" si="27"/>
        <v>2050</v>
      </c>
      <c r="S122" s="298">
        <f t="shared" si="27"/>
        <v>2051</v>
      </c>
      <c r="T122" s="298">
        <f t="shared" si="27"/>
        <v>2052</v>
      </c>
      <c r="U122" s="327"/>
      <c r="V122" s="232"/>
      <c r="W122" s="232"/>
      <c r="X122" s="232"/>
      <c r="Y122" s="232"/>
      <c r="Z122" s="232"/>
      <c r="AA122" s="232"/>
      <c r="AB122" s="232"/>
      <c r="AC122" s="232"/>
      <c r="AD122" s="232"/>
      <c r="AE122" s="232"/>
      <c r="AF122" s="232"/>
      <c r="AG122" s="232"/>
      <c r="AH122" s="232"/>
      <c r="AI122" s="184"/>
    </row>
    <row r="123" spans="1:35" s="6" customFormat="1" ht="12">
      <c r="A123" s="96" t="s">
        <v>34</v>
      </c>
      <c r="B123" s="113" t="s">
        <v>174</v>
      </c>
      <c r="C123" s="301" t="s">
        <v>151</v>
      </c>
      <c r="D123" s="328">
        <f>Założenia!$E$6</f>
        <v>2021</v>
      </c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5" s="6" customFormat="1" ht="12">
      <c r="A124" s="96" t="s">
        <v>35</v>
      </c>
      <c r="B124" s="113" t="s">
        <v>175</v>
      </c>
      <c r="C124" s="301" t="s">
        <v>151</v>
      </c>
      <c r="D124" s="328">
        <f>Założenia!$E$8</f>
        <v>2036</v>
      </c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5" s="6" customFormat="1" ht="12">
      <c r="A125" s="96" t="s">
        <v>30</v>
      </c>
      <c r="B125" s="113" t="s">
        <v>4</v>
      </c>
      <c r="C125" s="301" t="s">
        <v>28</v>
      </c>
      <c r="D125" s="300">
        <f>Założenia!$E$9</f>
        <v>15</v>
      </c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5" s="6" customFormat="1" ht="12">
      <c r="A126" s="96" t="s">
        <v>36</v>
      </c>
      <c r="B126" s="167" t="s">
        <v>177</v>
      </c>
      <c r="C126" s="301" t="s">
        <v>28</v>
      </c>
      <c r="D126" s="302">
        <f>D158</f>
        <v>12</v>
      </c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1:35" s="6" customFormat="1" ht="12">
      <c r="A127" s="96" t="s">
        <v>37</v>
      </c>
      <c r="B127" s="167" t="s">
        <v>178</v>
      </c>
      <c r="C127" s="301" t="s">
        <v>0</v>
      </c>
      <c r="D127" s="302"/>
      <c r="E127" s="23">
        <f>IF(E158&gt;0,(-$T$137-AVERAGE($E$141:$T$141)),0)</f>
        <v>754818.98306333274</v>
      </c>
      <c r="F127" s="23">
        <f t="shared" ref="F127:T127" si="28">IF(F158&gt;0,(-$T$137-AVERAGE($E$141:$T$141)),0)</f>
        <v>754818.98306333274</v>
      </c>
      <c r="G127" s="23">
        <f t="shared" si="28"/>
        <v>754818.98306333274</v>
      </c>
      <c r="H127" s="23">
        <f t="shared" si="28"/>
        <v>754818.98306333274</v>
      </c>
      <c r="I127" s="23">
        <f t="shared" si="28"/>
        <v>754818.98306333274</v>
      </c>
      <c r="J127" s="23">
        <f t="shared" si="28"/>
        <v>754818.98306333274</v>
      </c>
      <c r="K127" s="23">
        <f t="shared" si="28"/>
        <v>754818.98306333274</v>
      </c>
      <c r="L127" s="23">
        <f t="shared" si="28"/>
        <v>754818.98306333274</v>
      </c>
      <c r="M127" s="23">
        <f t="shared" si="28"/>
        <v>754818.98306333274</v>
      </c>
      <c r="N127" s="23">
        <f t="shared" si="28"/>
        <v>754818.98306333274</v>
      </c>
      <c r="O127" s="23">
        <f t="shared" si="28"/>
        <v>754818.98306333274</v>
      </c>
      <c r="P127" s="23">
        <f t="shared" si="28"/>
        <v>754818.98306333274</v>
      </c>
      <c r="Q127" s="23">
        <f t="shared" si="28"/>
        <v>0</v>
      </c>
      <c r="R127" s="23">
        <f t="shared" si="28"/>
        <v>0</v>
      </c>
      <c r="S127" s="23">
        <f t="shared" si="28"/>
        <v>0</v>
      </c>
      <c r="T127" s="23">
        <f t="shared" si="28"/>
        <v>0</v>
      </c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</row>
    <row r="128" spans="1:35" s="6" customFormat="1" ht="12">
      <c r="A128" s="96" t="s">
        <v>38</v>
      </c>
      <c r="B128" s="167" t="s">
        <v>179</v>
      </c>
      <c r="C128" s="301" t="s">
        <v>0</v>
      </c>
      <c r="D128" s="302"/>
      <c r="E128" s="23">
        <f>E127/(1+Założenia!$E$16)^E121</f>
        <v>725787.48371474294</v>
      </c>
      <c r="F128" s="23">
        <f>F127/(1+Założenia!$E$16)^F121</f>
        <v>697872.58049494517</v>
      </c>
      <c r="G128" s="23">
        <f>G127/(1+Założenia!$E$16)^G121</f>
        <v>671031.32739898574</v>
      </c>
      <c r="H128" s="23">
        <f>H127/(1+Założenia!$E$16)^H121</f>
        <v>645222.43019133236</v>
      </c>
      <c r="I128" s="23">
        <f>I127/(1+Założenia!$E$16)^I121</f>
        <v>620406.18287628109</v>
      </c>
      <c r="J128" s="23">
        <f>J127/(1+Założenia!$E$16)^J121</f>
        <v>596544.40661180869</v>
      </c>
      <c r="K128" s="23">
        <f>K127/(1+Założenia!$E$16)^K121</f>
        <v>573600.39097289299</v>
      </c>
      <c r="L128" s="23">
        <f>L127/(1+Założenia!$E$16)^L121</f>
        <v>551538.83747393556</v>
      </c>
      <c r="M128" s="23">
        <f>M127/(1+Założenia!$E$16)^M121</f>
        <v>530325.8052633995</v>
      </c>
      <c r="N128" s="23">
        <f>N127/(1+Założenia!$E$16)^N121</f>
        <v>509928.65890711488</v>
      </c>
      <c r="O128" s="23">
        <f>O127/(1+Założenia!$E$16)^O121</f>
        <v>490316.01817991823</v>
      </c>
      <c r="P128" s="23">
        <f>P127/(1+Założenia!$E$16)^P121</f>
        <v>471457.70978838281</v>
      </c>
      <c r="Q128" s="23">
        <f>Q127/(1+Założenia!$E$16)^Q121</f>
        <v>0</v>
      </c>
      <c r="R128" s="23">
        <f>R127/(1+Założenia!$E$16)^R121</f>
        <v>0</v>
      </c>
      <c r="S128" s="23">
        <f>S127/(1+Założenia!$E$16)^S121</f>
        <v>0</v>
      </c>
      <c r="T128" s="23">
        <f>T127/(1+Założenia!$E$16)^T121</f>
        <v>0</v>
      </c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</row>
    <row r="129" spans="1:21" s="6" customFormat="1" ht="12">
      <c r="A129" s="96" t="s">
        <v>39</v>
      </c>
      <c r="B129" s="167" t="s">
        <v>180</v>
      </c>
      <c r="C129" s="301" t="s">
        <v>0</v>
      </c>
      <c r="D129" s="302">
        <f>SUM(E128:AH128)</f>
        <v>7084031.8318737391</v>
      </c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</row>
    <row r="130" spans="1:21" s="30" customFormat="1">
      <c r="A130" s="33"/>
      <c r="B130" s="329"/>
      <c r="C130" s="330"/>
      <c r="D130" s="330"/>
      <c r="E130" s="103"/>
      <c r="F130" s="103"/>
      <c r="G130" s="103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33"/>
    </row>
    <row r="131" spans="1:21" s="30" customFormat="1">
      <c r="A131" s="33"/>
      <c r="B131" s="329"/>
      <c r="C131" s="330"/>
      <c r="D131" s="330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33"/>
    </row>
    <row r="132" spans="1:21" s="1" customFormat="1" ht="12">
      <c r="A132" s="269" t="s">
        <v>250</v>
      </c>
      <c r="B132" s="95" t="s">
        <v>224</v>
      </c>
      <c r="E132" s="325">
        <v>0</v>
      </c>
      <c r="F132" s="325">
        <f>E132+1</f>
        <v>1</v>
      </c>
      <c r="G132" s="325">
        <f t="shared" ref="G132:T132" si="29">F132+1</f>
        <v>2</v>
      </c>
      <c r="H132" s="325">
        <f t="shared" si="29"/>
        <v>3</v>
      </c>
      <c r="I132" s="325">
        <f t="shared" si="29"/>
        <v>4</v>
      </c>
      <c r="J132" s="325">
        <f t="shared" si="29"/>
        <v>5</v>
      </c>
      <c r="K132" s="325">
        <f t="shared" si="29"/>
        <v>6</v>
      </c>
      <c r="L132" s="325">
        <f t="shared" si="29"/>
        <v>7</v>
      </c>
      <c r="M132" s="325">
        <f t="shared" si="29"/>
        <v>8</v>
      </c>
      <c r="N132" s="325">
        <f t="shared" si="29"/>
        <v>9</v>
      </c>
      <c r="O132" s="325">
        <f t="shared" si="29"/>
        <v>10</v>
      </c>
      <c r="P132" s="325">
        <f t="shared" si="29"/>
        <v>11</v>
      </c>
      <c r="Q132" s="325">
        <f t="shared" si="29"/>
        <v>12</v>
      </c>
      <c r="R132" s="325">
        <f t="shared" si="29"/>
        <v>13</v>
      </c>
      <c r="S132" s="325">
        <f t="shared" si="29"/>
        <v>14</v>
      </c>
      <c r="T132" s="325">
        <f t="shared" si="29"/>
        <v>15</v>
      </c>
    </row>
    <row r="133" spans="1:21" s="26" customFormat="1">
      <c r="A133" s="108" t="s">
        <v>34</v>
      </c>
      <c r="B133" s="118" t="s">
        <v>85</v>
      </c>
      <c r="C133" s="301" t="s">
        <v>0</v>
      </c>
      <c r="D133" s="301"/>
      <c r="E133" s="102">
        <f>E134+E135</f>
        <v>0</v>
      </c>
      <c r="F133" s="102">
        <f t="shared" ref="F133:T133" si="30">F134+F135</f>
        <v>0</v>
      </c>
      <c r="G133" s="102">
        <f t="shared" si="30"/>
        <v>0</v>
      </c>
      <c r="H133" s="102">
        <f t="shared" si="30"/>
        <v>0</v>
      </c>
      <c r="I133" s="102">
        <f t="shared" si="30"/>
        <v>0</v>
      </c>
      <c r="J133" s="102">
        <f t="shared" si="30"/>
        <v>0</v>
      </c>
      <c r="K133" s="102">
        <f t="shared" si="30"/>
        <v>0</v>
      </c>
      <c r="L133" s="102">
        <f t="shared" si="30"/>
        <v>0</v>
      </c>
      <c r="M133" s="102">
        <f t="shared" si="30"/>
        <v>0</v>
      </c>
      <c r="N133" s="102">
        <f t="shared" si="30"/>
        <v>0</v>
      </c>
      <c r="O133" s="102">
        <f t="shared" si="30"/>
        <v>0</v>
      </c>
      <c r="P133" s="102">
        <f t="shared" si="30"/>
        <v>0</v>
      </c>
      <c r="Q133" s="102">
        <f t="shared" si="30"/>
        <v>0</v>
      </c>
      <c r="R133" s="102">
        <f t="shared" si="30"/>
        <v>0</v>
      </c>
      <c r="S133" s="102">
        <f t="shared" si="30"/>
        <v>0</v>
      </c>
      <c r="T133" s="102">
        <f t="shared" si="30"/>
        <v>7084031.8318737391</v>
      </c>
      <c r="U133" s="13"/>
    </row>
    <row r="134" spans="1:21" s="26" customFormat="1">
      <c r="A134" s="96" t="s">
        <v>43</v>
      </c>
      <c r="B134" s="111" t="s">
        <v>300</v>
      </c>
      <c r="C134" s="214" t="s">
        <v>0</v>
      </c>
      <c r="D134" s="301"/>
      <c r="E134" s="102">
        <f>E9-'Scenariusz bazowy'!E9</f>
        <v>0</v>
      </c>
      <c r="F134" s="102">
        <f>F9-'Scenariusz bazowy'!F9</f>
        <v>0</v>
      </c>
      <c r="G134" s="102">
        <f>G9-'Scenariusz bazowy'!G9</f>
        <v>0</v>
      </c>
      <c r="H134" s="102">
        <f>H9-'Scenariusz bazowy'!H9</f>
        <v>0</v>
      </c>
      <c r="I134" s="102">
        <f>I9-'Scenariusz bazowy'!I9</f>
        <v>0</v>
      </c>
      <c r="J134" s="102">
        <f>J9-'Scenariusz bazowy'!J9</f>
        <v>0</v>
      </c>
      <c r="K134" s="102">
        <f>K9-'Scenariusz bazowy'!K9</f>
        <v>0</v>
      </c>
      <c r="L134" s="102">
        <f>L9-'Scenariusz bazowy'!L9</f>
        <v>0</v>
      </c>
      <c r="M134" s="102">
        <f>M9-'Scenariusz bazowy'!M9</f>
        <v>0</v>
      </c>
      <c r="N134" s="102">
        <f>N9-'Scenariusz bazowy'!N9</f>
        <v>0</v>
      </c>
      <c r="O134" s="102">
        <f>O9-'Scenariusz bazowy'!O9</f>
        <v>0</v>
      </c>
      <c r="P134" s="102">
        <f>P9-'Scenariusz bazowy'!P9</f>
        <v>0</v>
      </c>
      <c r="Q134" s="102">
        <f>Q9-'Scenariusz bazowy'!Q9</f>
        <v>0</v>
      </c>
      <c r="R134" s="102">
        <f>R9-'Scenariusz bazowy'!R9</f>
        <v>0</v>
      </c>
      <c r="S134" s="102">
        <f>S9-'Scenariusz bazowy'!S9</f>
        <v>0</v>
      </c>
      <c r="T134" s="102">
        <f>T9-'Scenariusz bazowy'!T9</f>
        <v>0</v>
      </c>
      <c r="U134" s="13"/>
    </row>
    <row r="135" spans="1:21" s="1" customFormat="1" ht="12">
      <c r="A135" s="96" t="s">
        <v>44</v>
      </c>
      <c r="B135" s="111" t="s">
        <v>278</v>
      </c>
      <c r="C135" s="214" t="s">
        <v>0</v>
      </c>
      <c r="D135" s="214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>
        <f>IF(D129&gt;0,D129,0)</f>
        <v>7084031.8318737391</v>
      </c>
    </row>
    <row r="136" spans="1:21" s="13" customFormat="1" ht="12">
      <c r="A136" s="108" t="s">
        <v>35</v>
      </c>
      <c r="B136" s="118" t="s">
        <v>86</v>
      </c>
      <c r="C136" s="301" t="s">
        <v>0</v>
      </c>
      <c r="D136" s="301"/>
      <c r="E136" s="22">
        <f>E137+E138+E141</f>
        <v>0</v>
      </c>
      <c r="F136" s="22">
        <f t="shared" ref="F136:T136" si="31">F137+F138+F141</f>
        <v>-539.30439878627658</v>
      </c>
      <c r="G136" s="22">
        <f t="shared" si="31"/>
        <v>-549.91124470904469</v>
      </c>
      <c r="H136" s="22">
        <f t="shared" si="31"/>
        <v>-560.51809063181281</v>
      </c>
      <c r="I136" s="22">
        <f t="shared" si="31"/>
        <v>-571.12493655830622</v>
      </c>
      <c r="J136" s="22">
        <f t="shared" si="31"/>
        <v>-581.73178248107433</v>
      </c>
      <c r="K136" s="22">
        <f t="shared" si="31"/>
        <v>-216278.30774573609</v>
      </c>
      <c r="L136" s="22">
        <f t="shared" si="31"/>
        <v>-627615.42397967353</v>
      </c>
      <c r="M136" s="22">
        <f t="shared" si="31"/>
        <v>-635923.71572195366</v>
      </c>
      <c r="N136" s="22">
        <f t="shared" si="31"/>
        <v>-644232.00746423751</v>
      </c>
      <c r="O136" s="22">
        <f t="shared" si="31"/>
        <v>-652540.29920652136</v>
      </c>
      <c r="P136" s="22">
        <f t="shared" si="31"/>
        <v>-660848.59094880521</v>
      </c>
      <c r="Q136" s="22">
        <f t="shared" si="31"/>
        <v>-669156.88269108534</v>
      </c>
      <c r="R136" s="22">
        <f t="shared" si="31"/>
        <v>-295854.49718239158</v>
      </c>
      <c r="S136" s="22">
        <f t="shared" si="31"/>
        <v>-304162.78892467543</v>
      </c>
      <c r="T136" s="22">
        <f t="shared" si="31"/>
        <v>-754818.98306333274</v>
      </c>
    </row>
    <row r="137" spans="1:21" s="1" customFormat="1" ht="12">
      <c r="A137" s="96" t="s">
        <v>49</v>
      </c>
      <c r="B137" s="111" t="s">
        <v>279</v>
      </c>
      <c r="C137" s="214" t="s">
        <v>0</v>
      </c>
      <c r="D137" s="214"/>
      <c r="E137" s="23">
        <f>E10-'Scenariusz bazowy'!E10</f>
        <v>0</v>
      </c>
      <c r="F137" s="23">
        <f>F10-'Scenariusz bazowy'!F10</f>
        <v>-539.30439878627658</v>
      </c>
      <c r="G137" s="23">
        <f>G10-'Scenariusz bazowy'!G10</f>
        <v>-549.91124470904469</v>
      </c>
      <c r="H137" s="23">
        <f>H10-'Scenariusz bazowy'!H10</f>
        <v>-560.51809063181281</v>
      </c>
      <c r="I137" s="23">
        <f>I10-'Scenariusz bazowy'!I10</f>
        <v>-571.12493655830622</v>
      </c>
      <c r="J137" s="23">
        <f>J10-'Scenariusz bazowy'!J10</f>
        <v>-581.73178248107433</v>
      </c>
      <c r="K137" s="23">
        <f>K10-'Scenariusz bazowy'!K10</f>
        <v>-216278.30774573609</v>
      </c>
      <c r="L137" s="23">
        <f>L10-'Scenariusz bazowy'!L10</f>
        <v>-627615.42397967353</v>
      </c>
      <c r="M137" s="23">
        <f>M10-'Scenariusz bazowy'!M10</f>
        <v>-635923.71572195366</v>
      </c>
      <c r="N137" s="23">
        <f>N10-'Scenariusz bazowy'!N10</f>
        <v>-644232.00746423751</v>
      </c>
      <c r="O137" s="23">
        <f>O10-'Scenariusz bazowy'!O10</f>
        <v>-652540.29920652136</v>
      </c>
      <c r="P137" s="23">
        <f>P10-'Scenariusz bazowy'!P10</f>
        <v>-660848.59094880521</v>
      </c>
      <c r="Q137" s="23">
        <f>Q10-'Scenariusz bazowy'!Q10</f>
        <v>-669156.88269108534</v>
      </c>
      <c r="R137" s="23">
        <f>R10-'Scenariusz bazowy'!R10</f>
        <v>-295854.49718239158</v>
      </c>
      <c r="S137" s="23">
        <f>S10-'Scenariusz bazowy'!S10</f>
        <v>-304162.78892467543</v>
      </c>
      <c r="T137" s="23">
        <f>T10-'Scenariusz bazowy'!T10</f>
        <v>-754818.98306333274</v>
      </c>
    </row>
    <row r="138" spans="1:21" s="1" customFormat="1" ht="12">
      <c r="A138" s="96" t="s">
        <v>50</v>
      </c>
      <c r="B138" s="111" t="s">
        <v>280</v>
      </c>
      <c r="C138" s="214" t="s">
        <v>0</v>
      </c>
      <c r="D138" s="214"/>
      <c r="E138" s="23">
        <f>E139+E140</f>
        <v>0</v>
      </c>
      <c r="F138" s="23">
        <f t="shared" ref="F138:T138" si="32">F139+F140</f>
        <v>0</v>
      </c>
      <c r="G138" s="23">
        <f t="shared" si="32"/>
        <v>0</v>
      </c>
      <c r="H138" s="23">
        <f t="shared" si="32"/>
        <v>0</v>
      </c>
      <c r="I138" s="23">
        <f t="shared" si="32"/>
        <v>0</v>
      </c>
      <c r="J138" s="23">
        <f t="shared" si="32"/>
        <v>0</v>
      </c>
      <c r="K138" s="23">
        <f t="shared" si="32"/>
        <v>0</v>
      </c>
      <c r="L138" s="23">
        <f t="shared" si="32"/>
        <v>0</v>
      </c>
      <c r="M138" s="23">
        <f t="shared" si="32"/>
        <v>0</v>
      </c>
      <c r="N138" s="23">
        <f t="shared" si="32"/>
        <v>0</v>
      </c>
      <c r="O138" s="23">
        <f t="shared" si="32"/>
        <v>0</v>
      </c>
      <c r="P138" s="23">
        <f t="shared" si="32"/>
        <v>0</v>
      </c>
      <c r="Q138" s="23">
        <f t="shared" si="32"/>
        <v>0</v>
      </c>
      <c r="R138" s="23">
        <f t="shared" si="32"/>
        <v>0</v>
      </c>
      <c r="S138" s="23">
        <f t="shared" si="32"/>
        <v>0</v>
      </c>
      <c r="T138" s="23">
        <f t="shared" si="32"/>
        <v>0</v>
      </c>
    </row>
    <row r="139" spans="1:21" s="1" customFormat="1" ht="12">
      <c r="A139" s="96" t="s">
        <v>54</v>
      </c>
      <c r="B139" s="111" t="s">
        <v>281</v>
      </c>
      <c r="C139" s="214" t="s">
        <v>0</v>
      </c>
      <c r="D139" s="214"/>
      <c r="E139" s="23">
        <f t="shared" ref="E139:T141" si="33">E112</f>
        <v>0</v>
      </c>
      <c r="F139" s="23">
        <f t="shared" si="33"/>
        <v>0</v>
      </c>
      <c r="G139" s="23">
        <f t="shared" si="33"/>
        <v>0</v>
      </c>
      <c r="H139" s="23">
        <f t="shared" si="33"/>
        <v>0</v>
      </c>
      <c r="I139" s="23">
        <f t="shared" si="33"/>
        <v>0</v>
      </c>
      <c r="J139" s="23">
        <f t="shared" si="33"/>
        <v>0</v>
      </c>
      <c r="K139" s="23">
        <f t="shared" si="33"/>
        <v>0</v>
      </c>
      <c r="L139" s="23">
        <f t="shared" si="33"/>
        <v>0</v>
      </c>
      <c r="M139" s="23">
        <f t="shared" si="33"/>
        <v>0</v>
      </c>
      <c r="N139" s="23">
        <f t="shared" si="33"/>
        <v>0</v>
      </c>
      <c r="O139" s="23">
        <f t="shared" si="33"/>
        <v>0</v>
      </c>
      <c r="P139" s="23">
        <f t="shared" si="33"/>
        <v>0</v>
      </c>
      <c r="Q139" s="23">
        <f t="shared" si="33"/>
        <v>0</v>
      </c>
      <c r="R139" s="23">
        <f t="shared" si="33"/>
        <v>0</v>
      </c>
      <c r="S139" s="23">
        <f t="shared" si="33"/>
        <v>0</v>
      </c>
      <c r="T139" s="23">
        <f t="shared" si="33"/>
        <v>0</v>
      </c>
    </row>
    <row r="140" spans="1:21" s="1" customFormat="1" ht="12">
      <c r="A140" s="96" t="s">
        <v>55</v>
      </c>
      <c r="B140" s="111" t="s">
        <v>282</v>
      </c>
      <c r="C140" s="214" t="s">
        <v>0</v>
      </c>
      <c r="D140" s="214"/>
      <c r="E140" s="23">
        <f t="shared" si="33"/>
        <v>0</v>
      </c>
      <c r="F140" s="23">
        <f t="shared" si="33"/>
        <v>0</v>
      </c>
      <c r="G140" s="23">
        <f t="shared" si="33"/>
        <v>0</v>
      </c>
      <c r="H140" s="23">
        <f t="shared" si="33"/>
        <v>0</v>
      </c>
      <c r="I140" s="23">
        <f t="shared" si="33"/>
        <v>0</v>
      </c>
      <c r="J140" s="23">
        <f t="shared" si="33"/>
        <v>0</v>
      </c>
      <c r="K140" s="23">
        <f t="shared" si="33"/>
        <v>0</v>
      </c>
      <c r="L140" s="23">
        <f t="shared" si="33"/>
        <v>0</v>
      </c>
      <c r="M140" s="23">
        <f t="shared" si="33"/>
        <v>0</v>
      </c>
      <c r="N140" s="23">
        <f t="shared" si="33"/>
        <v>0</v>
      </c>
      <c r="O140" s="23">
        <f t="shared" si="33"/>
        <v>0</v>
      </c>
      <c r="P140" s="23">
        <f t="shared" si="33"/>
        <v>0</v>
      </c>
      <c r="Q140" s="23">
        <f t="shared" si="33"/>
        <v>0</v>
      </c>
      <c r="R140" s="23">
        <f t="shared" si="33"/>
        <v>0</v>
      </c>
      <c r="S140" s="23">
        <f t="shared" si="33"/>
        <v>0</v>
      </c>
      <c r="T140" s="23">
        <f t="shared" si="33"/>
        <v>0</v>
      </c>
    </row>
    <row r="141" spans="1:21" s="1" customFormat="1" ht="12">
      <c r="A141" s="96" t="s">
        <v>61</v>
      </c>
      <c r="B141" s="111" t="s">
        <v>283</v>
      </c>
      <c r="C141" s="214" t="s">
        <v>0</v>
      </c>
      <c r="D141" s="214"/>
      <c r="E141" s="23">
        <f t="shared" si="33"/>
        <v>0</v>
      </c>
      <c r="F141" s="23">
        <f t="shared" si="33"/>
        <v>0</v>
      </c>
      <c r="G141" s="23">
        <f t="shared" si="33"/>
        <v>0</v>
      </c>
      <c r="H141" s="23">
        <f t="shared" si="33"/>
        <v>0</v>
      </c>
      <c r="I141" s="23">
        <f t="shared" si="33"/>
        <v>0</v>
      </c>
      <c r="J141" s="23">
        <f t="shared" si="33"/>
        <v>0</v>
      </c>
      <c r="K141" s="23">
        <f t="shared" si="33"/>
        <v>0</v>
      </c>
      <c r="L141" s="23">
        <f t="shared" si="33"/>
        <v>0</v>
      </c>
      <c r="M141" s="23">
        <f t="shared" si="33"/>
        <v>0</v>
      </c>
      <c r="N141" s="23">
        <f t="shared" si="33"/>
        <v>0</v>
      </c>
      <c r="O141" s="23">
        <f t="shared" si="33"/>
        <v>0</v>
      </c>
      <c r="P141" s="23">
        <f t="shared" si="33"/>
        <v>0</v>
      </c>
      <c r="Q141" s="23">
        <f t="shared" si="33"/>
        <v>0</v>
      </c>
      <c r="R141" s="23">
        <f t="shared" si="33"/>
        <v>0</v>
      </c>
      <c r="S141" s="23">
        <f t="shared" si="33"/>
        <v>0</v>
      </c>
      <c r="T141" s="23">
        <f t="shared" si="33"/>
        <v>0</v>
      </c>
    </row>
    <row r="142" spans="1:21" s="13" customFormat="1" ht="12">
      <c r="A142" s="108" t="s">
        <v>30</v>
      </c>
      <c r="B142" s="118" t="s">
        <v>87</v>
      </c>
      <c r="C142" s="301" t="s">
        <v>0</v>
      </c>
      <c r="D142" s="301"/>
      <c r="E142" s="22">
        <f t="shared" ref="E142:T142" si="34">E133-E136</f>
        <v>0</v>
      </c>
      <c r="F142" s="22">
        <f t="shared" si="34"/>
        <v>539.30439878627658</v>
      </c>
      <c r="G142" s="22">
        <f t="shared" si="34"/>
        <v>549.91124470904469</v>
      </c>
      <c r="H142" s="22">
        <f t="shared" si="34"/>
        <v>560.51809063181281</v>
      </c>
      <c r="I142" s="22">
        <f t="shared" si="34"/>
        <v>571.12493655830622</v>
      </c>
      <c r="J142" s="22">
        <f t="shared" si="34"/>
        <v>581.73178248107433</v>
      </c>
      <c r="K142" s="22">
        <f t="shared" si="34"/>
        <v>216278.30774573609</v>
      </c>
      <c r="L142" s="22">
        <f t="shared" si="34"/>
        <v>627615.42397967353</v>
      </c>
      <c r="M142" s="22">
        <f t="shared" si="34"/>
        <v>635923.71572195366</v>
      </c>
      <c r="N142" s="22">
        <f t="shared" si="34"/>
        <v>644232.00746423751</v>
      </c>
      <c r="O142" s="22">
        <f t="shared" si="34"/>
        <v>652540.29920652136</v>
      </c>
      <c r="P142" s="22">
        <f t="shared" si="34"/>
        <v>660848.59094880521</v>
      </c>
      <c r="Q142" s="22">
        <f t="shared" si="34"/>
        <v>669156.88269108534</v>
      </c>
      <c r="R142" s="22">
        <f t="shared" si="34"/>
        <v>295854.49718239158</v>
      </c>
      <c r="S142" s="22">
        <f t="shared" si="34"/>
        <v>304162.78892467543</v>
      </c>
      <c r="T142" s="22">
        <f t="shared" si="34"/>
        <v>7838850.8149370719</v>
      </c>
    </row>
    <row r="143" spans="1:21" s="1" customFormat="1" ht="12">
      <c r="A143" s="96" t="s">
        <v>31</v>
      </c>
      <c r="B143" s="111" t="s">
        <v>88</v>
      </c>
      <c r="C143" s="214" t="s">
        <v>90</v>
      </c>
      <c r="D143" s="214"/>
      <c r="E143" s="34">
        <v>1</v>
      </c>
      <c r="F143" s="34">
        <f t="shared" ref="F143:T143" si="35">(1/(1+F144)^F132)</f>
        <v>0.96153846153846145</v>
      </c>
      <c r="G143" s="34">
        <f t="shared" si="35"/>
        <v>0.92455621301775137</v>
      </c>
      <c r="H143" s="34">
        <f t="shared" si="35"/>
        <v>0.88899635867091487</v>
      </c>
      <c r="I143" s="34">
        <f t="shared" si="35"/>
        <v>0.85480419102972571</v>
      </c>
      <c r="J143" s="34">
        <f t="shared" si="35"/>
        <v>0.82192710675935154</v>
      </c>
      <c r="K143" s="34">
        <f t="shared" si="35"/>
        <v>0.79031452573014571</v>
      </c>
      <c r="L143" s="34">
        <f t="shared" si="35"/>
        <v>0.75991781320206331</v>
      </c>
      <c r="M143" s="34">
        <f t="shared" si="35"/>
        <v>0.73069020500198378</v>
      </c>
      <c r="N143" s="34">
        <f t="shared" si="35"/>
        <v>0.70258673557883045</v>
      </c>
      <c r="O143" s="34">
        <f t="shared" si="35"/>
        <v>0.67556416882579851</v>
      </c>
      <c r="P143" s="34">
        <f t="shared" si="35"/>
        <v>0.6495809315632679</v>
      </c>
      <c r="Q143" s="34">
        <f t="shared" si="35"/>
        <v>0.62459704958006512</v>
      </c>
      <c r="R143" s="34">
        <f t="shared" si="35"/>
        <v>0.600574086134678</v>
      </c>
      <c r="S143" s="34">
        <f t="shared" si="35"/>
        <v>0.57747508282180582</v>
      </c>
      <c r="T143" s="34">
        <f t="shared" si="35"/>
        <v>0.55526450271327477</v>
      </c>
    </row>
    <row r="144" spans="1:21" s="1" customFormat="1" ht="12">
      <c r="A144" s="96" t="s">
        <v>89</v>
      </c>
      <c r="B144" s="111" t="s">
        <v>5</v>
      </c>
      <c r="C144" s="214" t="s">
        <v>1</v>
      </c>
      <c r="D144" s="214"/>
      <c r="E144" s="35">
        <f>Założenia!E16</f>
        <v>0.04</v>
      </c>
      <c r="F144" s="35">
        <f>Założenia!F16</f>
        <v>0.04</v>
      </c>
      <c r="G144" s="35">
        <f>Założenia!G16</f>
        <v>0.04</v>
      </c>
      <c r="H144" s="35">
        <f>Założenia!H16</f>
        <v>0.04</v>
      </c>
      <c r="I144" s="35">
        <f>Założenia!I16</f>
        <v>0.04</v>
      </c>
      <c r="J144" s="35">
        <f>Założenia!J16</f>
        <v>0.04</v>
      </c>
      <c r="K144" s="35">
        <f>Założenia!G16</f>
        <v>0.04</v>
      </c>
      <c r="L144" s="35">
        <f>Założenia!L16</f>
        <v>0.04</v>
      </c>
      <c r="M144" s="35">
        <f>Założenia!M16</f>
        <v>0.04</v>
      </c>
      <c r="N144" s="35">
        <f>Założenia!N16</f>
        <v>0.04</v>
      </c>
      <c r="O144" s="35">
        <f>Założenia!O16</f>
        <v>0.04</v>
      </c>
      <c r="P144" s="35">
        <f>Założenia!P16</f>
        <v>0.04</v>
      </c>
      <c r="Q144" s="35">
        <f>Założenia!Q16</f>
        <v>0.04</v>
      </c>
      <c r="R144" s="35">
        <f>Założenia!R16</f>
        <v>0.04</v>
      </c>
      <c r="S144" s="35">
        <f>Założenia!S16</f>
        <v>0.04</v>
      </c>
      <c r="T144" s="35">
        <f>Założenia!T16</f>
        <v>0.04</v>
      </c>
    </row>
    <row r="145" spans="1:35" s="13" customFormat="1" ht="12">
      <c r="A145" s="108" t="s">
        <v>32</v>
      </c>
      <c r="B145" s="118" t="s">
        <v>179</v>
      </c>
      <c r="C145" s="301" t="s">
        <v>0</v>
      </c>
      <c r="D145" s="301"/>
      <c r="E145" s="116">
        <f>E142*E143</f>
        <v>0</v>
      </c>
      <c r="F145" s="116">
        <f t="shared" ref="F145:T145" si="36">F142*F143</f>
        <v>518.56192190988133</v>
      </c>
      <c r="G145" s="116">
        <f t="shared" si="36"/>
        <v>508.42385790407235</v>
      </c>
      <c r="H145" s="116">
        <f t="shared" si="36"/>
        <v>498.29854154085541</v>
      </c>
      <c r="I145" s="116">
        <f t="shared" si="36"/>
        <v>488.19998937162637</v>
      </c>
      <c r="J145" s="116">
        <f t="shared" si="36"/>
        <v>478.14112088462986</v>
      </c>
      <c r="K145" s="116">
        <f t="shared" si="36"/>
        <v>170927.88821178992</v>
      </c>
      <c r="L145" s="116">
        <f t="shared" si="36"/>
        <v>476936.1405225193</v>
      </c>
      <c r="M145" s="116">
        <f t="shared" si="36"/>
        <v>464663.2302064976</v>
      </c>
      <c r="N145" s="116">
        <f t="shared" si="36"/>
        <v>452628.86307969538</v>
      </c>
      <c r="O145" s="116">
        <f t="shared" si="36"/>
        <v>440832.84485879145</v>
      </c>
      <c r="P145" s="116">
        <f t="shared" si="36"/>
        <v>429274.64333079784</v>
      </c>
      <c r="Q145" s="116">
        <f t="shared" si="36"/>
        <v>417953.41463504563</v>
      </c>
      <c r="R145" s="116">
        <f t="shared" si="36"/>
        <v>177682.54427414949</v>
      </c>
      <c r="S145" s="116">
        <f t="shared" si="36"/>
        <v>175646.43172558839</v>
      </c>
      <c r="T145" s="116">
        <f t="shared" si="36"/>
        <v>4352635.5995995821</v>
      </c>
    </row>
    <row r="146" spans="1:35" s="32" customFormat="1" ht="12">
      <c r="A146" s="108" t="s">
        <v>36</v>
      </c>
      <c r="B146" s="117" t="s">
        <v>83</v>
      </c>
      <c r="C146" s="214" t="s">
        <v>0</v>
      </c>
      <c r="D146" s="214"/>
      <c r="E146" s="331">
        <f>SUM(E145:T145)</f>
        <v>7561673.2258760678</v>
      </c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3"/>
    </row>
    <row r="147" spans="1:35" s="32" customFormat="1" ht="12">
      <c r="A147" s="108" t="s">
        <v>37</v>
      </c>
      <c r="B147" s="117" t="s">
        <v>84</v>
      </c>
      <c r="C147" s="214" t="s">
        <v>1</v>
      </c>
      <c r="D147" s="214"/>
      <c r="E147" s="332" t="str">
        <f>IFERROR(IRR(E142:T142),"nie istnieje")</f>
        <v>nie istnieje</v>
      </c>
      <c r="F147" s="19"/>
      <c r="G147" s="333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3"/>
    </row>
    <row r="148" spans="1:35" s="123" customFormat="1" ht="12">
      <c r="A148" s="46"/>
      <c r="B148" s="122"/>
      <c r="C148" s="200"/>
      <c r="D148" s="200"/>
      <c r="E148" s="334"/>
      <c r="F148" s="211"/>
      <c r="G148" s="333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64"/>
    </row>
    <row r="149" spans="1:35" s="6" customFormat="1" ht="12">
      <c r="A149" s="96"/>
      <c r="B149" s="195"/>
      <c r="C149" s="323"/>
      <c r="D149" s="324"/>
      <c r="E149" s="325">
        <v>1</v>
      </c>
      <c r="F149" s="325">
        <f>E149+1</f>
        <v>2</v>
      </c>
      <c r="G149" s="325">
        <f t="shared" ref="G149:U150" si="37">F149+1</f>
        <v>3</v>
      </c>
      <c r="H149" s="325">
        <f t="shared" si="37"/>
        <v>4</v>
      </c>
      <c r="I149" s="325">
        <f t="shared" si="37"/>
        <v>5</v>
      </c>
      <c r="J149" s="325">
        <f t="shared" si="37"/>
        <v>6</v>
      </c>
      <c r="K149" s="325">
        <f t="shared" si="37"/>
        <v>7</v>
      </c>
      <c r="L149" s="325">
        <f t="shared" si="37"/>
        <v>8</v>
      </c>
      <c r="M149" s="325">
        <f t="shared" si="37"/>
        <v>9</v>
      </c>
      <c r="N149" s="325">
        <f t="shared" si="37"/>
        <v>10</v>
      </c>
      <c r="O149" s="325">
        <f t="shared" si="37"/>
        <v>11</v>
      </c>
      <c r="P149" s="325">
        <f t="shared" si="37"/>
        <v>12</v>
      </c>
      <c r="Q149" s="325">
        <f t="shared" si="37"/>
        <v>13</v>
      </c>
      <c r="R149" s="325">
        <f t="shared" si="37"/>
        <v>14</v>
      </c>
      <c r="S149" s="325">
        <f t="shared" si="37"/>
        <v>15</v>
      </c>
      <c r="T149" s="325">
        <f t="shared" si="37"/>
        <v>16</v>
      </c>
      <c r="U149" s="325">
        <f t="shared" si="37"/>
        <v>17</v>
      </c>
      <c r="V149" s="234"/>
      <c r="W149" s="234"/>
      <c r="X149" s="234"/>
      <c r="Y149" s="234"/>
      <c r="Z149" s="234"/>
      <c r="AA149" s="234"/>
      <c r="AB149" s="234"/>
      <c r="AC149" s="234"/>
      <c r="AD149" s="234"/>
      <c r="AE149" s="234"/>
      <c r="AF149" s="234"/>
      <c r="AG149" s="234"/>
      <c r="AH149" s="234"/>
      <c r="AI149" s="234"/>
    </row>
    <row r="150" spans="1:35" s="6" customFormat="1">
      <c r="A150" s="269" t="s">
        <v>251</v>
      </c>
      <c r="B150" s="95" t="s">
        <v>388</v>
      </c>
      <c r="C150" s="323"/>
      <c r="D150" s="324"/>
      <c r="E150" s="298">
        <f>T5+1</f>
        <v>2037</v>
      </c>
      <c r="F150" s="298">
        <f>E150+1</f>
        <v>2038</v>
      </c>
      <c r="G150" s="298">
        <f t="shared" si="37"/>
        <v>2039</v>
      </c>
      <c r="H150" s="298">
        <f t="shared" si="37"/>
        <v>2040</v>
      </c>
      <c r="I150" s="298">
        <f t="shared" si="37"/>
        <v>2041</v>
      </c>
      <c r="J150" s="298">
        <f t="shared" si="37"/>
        <v>2042</v>
      </c>
      <c r="K150" s="298">
        <f t="shared" si="37"/>
        <v>2043</v>
      </c>
      <c r="L150" s="298">
        <f t="shared" si="37"/>
        <v>2044</v>
      </c>
      <c r="M150" s="298">
        <f t="shared" si="37"/>
        <v>2045</v>
      </c>
      <c r="N150" s="298">
        <f t="shared" si="37"/>
        <v>2046</v>
      </c>
      <c r="O150" s="298">
        <f t="shared" si="37"/>
        <v>2047</v>
      </c>
      <c r="P150" s="298">
        <f t="shared" si="37"/>
        <v>2048</v>
      </c>
      <c r="Q150" s="298">
        <f t="shared" si="37"/>
        <v>2049</v>
      </c>
      <c r="R150" s="298">
        <f t="shared" si="37"/>
        <v>2050</v>
      </c>
      <c r="S150" s="298">
        <f t="shared" si="37"/>
        <v>2051</v>
      </c>
      <c r="T150" s="298">
        <f t="shared" si="37"/>
        <v>2052</v>
      </c>
      <c r="U150" s="298">
        <f t="shared" si="37"/>
        <v>2053</v>
      </c>
      <c r="V150" s="235"/>
      <c r="W150" s="235"/>
      <c r="X150" s="235"/>
      <c r="Y150" s="235"/>
      <c r="Z150" s="235"/>
      <c r="AA150" s="235"/>
      <c r="AB150" s="235"/>
      <c r="AC150" s="235"/>
      <c r="AD150" s="235"/>
      <c r="AE150" s="235"/>
      <c r="AF150" s="235"/>
      <c r="AG150" s="235"/>
      <c r="AH150" s="235"/>
      <c r="AI150" s="235"/>
    </row>
    <row r="151" spans="1:35" s="6" customFormat="1" ht="12">
      <c r="A151" s="96" t="s">
        <v>34</v>
      </c>
      <c r="B151" s="113" t="s">
        <v>174</v>
      </c>
      <c r="C151" s="301" t="s">
        <v>151</v>
      </c>
      <c r="D151" s="328">
        <f>Założenia!$E$6</f>
        <v>2021</v>
      </c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</row>
    <row r="152" spans="1:35" s="6" customFormat="1" ht="12">
      <c r="A152" s="96" t="s">
        <v>35</v>
      </c>
      <c r="B152" s="113" t="s">
        <v>175</v>
      </c>
      <c r="C152" s="301" t="s">
        <v>151</v>
      </c>
      <c r="D152" s="328">
        <f>Założenia!$E$8</f>
        <v>2036</v>
      </c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</row>
    <row r="153" spans="1:35" s="6" customFormat="1" ht="12">
      <c r="A153" s="96" t="s">
        <v>30</v>
      </c>
      <c r="B153" s="113" t="s">
        <v>4</v>
      </c>
      <c r="C153" s="301" t="s">
        <v>28</v>
      </c>
      <c r="D153" s="300">
        <f>Założenia!$E$9</f>
        <v>15</v>
      </c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</row>
    <row r="154" spans="1:35" s="6" customFormat="1" ht="12">
      <c r="A154" s="96" t="s">
        <v>37</v>
      </c>
      <c r="B154" s="167" t="s">
        <v>177</v>
      </c>
      <c r="C154" s="301" t="s">
        <v>28</v>
      </c>
      <c r="D154" s="302">
        <f>D126</f>
        <v>12</v>
      </c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</row>
    <row r="155" spans="1:35" s="6" customFormat="1" ht="12">
      <c r="A155" s="96" t="s">
        <v>38</v>
      </c>
      <c r="B155" s="167" t="s">
        <v>182</v>
      </c>
      <c r="C155" s="301" t="s">
        <v>0</v>
      </c>
      <c r="D155" s="302"/>
      <c r="E155" s="23">
        <f>IF(E158&gt;0,($T$175-$T$172-AVERAGE($E$164:$T$164)),0)</f>
        <v>586942.44873699918</v>
      </c>
      <c r="F155" s="23">
        <f t="shared" ref="F155:T155" si="38">IF(F158&gt;0,($T$175-$T$172-AVERAGE($E$164:$T$164)),0)</f>
        <v>586942.44873699918</v>
      </c>
      <c r="G155" s="23">
        <f t="shared" si="38"/>
        <v>586942.44873699918</v>
      </c>
      <c r="H155" s="23">
        <f t="shared" si="38"/>
        <v>586942.44873699918</v>
      </c>
      <c r="I155" s="23">
        <f t="shared" si="38"/>
        <v>586942.44873699918</v>
      </c>
      <c r="J155" s="23">
        <f t="shared" si="38"/>
        <v>586942.44873699918</v>
      </c>
      <c r="K155" s="23">
        <f t="shared" si="38"/>
        <v>586942.44873699918</v>
      </c>
      <c r="L155" s="23">
        <f t="shared" si="38"/>
        <v>586942.44873699918</v>
      </c>
      <c r="M155" s="23">
        <f t="shared" si="38"/>
        <v>586942.44873699918</v>
      </c>
      <c r="N155" s="23">
        <f t="shared" si="38"/>
        <v>586942.44873699918</v>
      </c>
      <c r="O155" s="23">
        <f t="shared" si="38"/>
        <v>586942.44873699918</v>
      </c>
      <c r="P155" s="23">
        <f t="shared" si="38"/>
        <v>586942.44873699918</v>
      </c>
      <c r="Q155" s="23">
        <f t="shared" si="38"/>
        <v>0</v>
      </c>
      <c r="R155" s="23">
        <f t="shared" si="38"/>
        <v>0</v>
      </c>
      <c r="S155" s="23">
        <f t="shared" si="38"/>
        <v>0</v>
      </c>
      <c r="T155" s="23">
        <f t="shared" si="38"/>
        <v>0</v>
      </c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</row>
    <row r="156" spans="1:35" s="6" customFormat="1" ht="12">
      <c r="A156" s="96" t="s">
        <v>39</v>
      </c>
      <c r="B156" s="167" t="s">
        <v>181</v>
      </c>
      <c r="C156" s="301" t="s">
        <v>0</v>
      </c>
      <c r="D156" s="302"/>
      <c r="E156" s="23">
        <f>E155/(1+Założenia!$E$17)^E149</f>
        <v>561667.41505932936</v>
      </c>
      <c r="F156" s="23">
        <f>F155/(1+Założenia!$E$17)^F149</f>
        <v>537480.77996108087</v>
      </c>
      <c r="G156" s="23">
        <f>G155/(1+Założenia!$E$17)^G149</f>
        <v>514335.67460390506</v>
      </c>
      <c r="H156" s="23">
        <f>H155/(1+Założenia!$E$17)^H149</f>
        <v>492187.24842478969</v>
      </c>
      <c r="I156" s="23">
        <f>I155/(1+Założenia!$E$17)^I149</f>
        <v>470992.58222467912</v>
      </c>
      <c r="J156" s="23">
        <f>J155/(1+Założenia!$E$17)^J149</f>
        <v>450710.60499969305</v>
      </c>
      <c r="K156" s="23">
        <f>K155/(1+Założenia!$E$17)^K149</f>
        <v>431302.01435377321</v>
      </c>
      <c r="L156" s="23">
        <f>L155/(1+Założenia!$E$17)^L149</f>
        <v>412729.20033853909</v>
      </c>
      <c r="M156" s="23">
        <f>M155/(1+Założenia!$E$17)^M149</f>
        <v>394956.17257276474</v>
      </c>
      <c r="N156" s="23">
        <f>N155/(1+Założenia!$E$17)^N149</f>
        <v>377948.49050025339</v>
      </c>
      <c r="O156" s="23">
        <f>O155/(1+Założenia!$E$17)^O149</f>
        <v>361673.19665096019</v>
      </c>
      <c r="P156" s="23">
        <f>P155/(1+Założenia!$E$17)^P149</f>
        <v>346098.75277603854</v>
      </c>
      <c r="Q156" s="23">
        <f>Q155/(1+Założenia!$E$17)^Q149</f>
        <v>0</v>
      </c>
      <c r="R156" s="23">
        <f>R155/(1+Założenia!$E$17)^R149</f>
        <v>0</v>
      </c>
      <c r="S156" s="23">
        <f>S155/(1+Założenia!$E$17)^S149</f>
        <v>0</v>
      </c>
      <c r="T156" s="23">
        <f>T155/(1+Założenia!$E$17)^T149</f>
        <v>0</v>
      </c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4"/>
    </row>
    <row r="157" spans="1:35" s="6" customFormat="1" ht="12">
      <c r="A157" s="96" t="s">
        <v>40</v>
      </c>
      <c r="B157" s="167" t="s">
        <v>53</v>
      </c>
      <c r="C157" s="335" t="s">
        <v>0</v>
      </c>
      <c r="D157" s="336">
        <f>SUM(E156:AH156)</f>
        <v>5352082.1324658077</v>
      </c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</row>
    <row r="158" spans="1:35" s="123" customFormat="1" ht="12">
      <c r="A158" s="46"/>
      <c r="B158" s="122"/>
      <c r="C158" s="337"/>
      <c r="D158" s="338">
        <v>12</v>
      </c>
      <c r="E158" s="339">
        <f>D158</f>
        <v>12</v>
      </c>
      <c r="F158" s="339">
        <f>IF(E158-1&gt;0,E158-1,0)</f>
        <v>11</v>
      </c>
      <c r="G158" s="339">
        <f>IF(F158-1&gt;0,F158-1,0)</f>
        <v>10</v>
      </c>
      <c r="H158" s="339">
        <f t="shared" ref="H158:T158" si="39">IF(G158-1&gt;0,G158-1,0)</f>
        <v>9</v>
      </c>
      <c r="I158" s="339">
        <f t="shared" si="39"/>
        <v>8</v>
      </c>
      <c r="J158" s="339">
        <f t="shared" si="39"/>
        <v>7</v>
      </c>
      <c r="K158" s="339">
        <f t="shared" si="39"/>
        <v>6</v>
      </c>
      <c r="L158" s="339">
        <f t="shared" si="39"/>
        <v>5</v>
      </c>
      <c r="M158" s="339">
        <f t="shared" si="39"/>
        <v>4</v>
      </c>
      <c r="N158" s="339">
        <f t="shared" si="39"/>
        <v>3</v>
      </c>
      <c r="O158" s="339">
        <f t="shared" si="39"/>
        <v>2</v>
      </c>
      <c r="P158" s="339">
        <f t="shared" si="39"/>
        <v>1</v>
      </c>
      <c r="Q158" s="339">
        <f t="shared" si="39"/>
        <v>0</v>
      </c>
      <c r="R158" s="339">
        <f t="shared" si="39"/>
        <v>0</v>
      </c>
      <c r="S158" s="339">
        <f t="shared" si="39"/>
        <v>0</v>
      </c>
      <c r="T158" s="339">
        <f t="shared" si="39"/>
        <v>0</v>
      </c>
      <c r="U158" s="164"/>
    </row>
    <row r="159" spans="1:35" s="123" customFormat="1" ht="12">
      <c r="A159" s="46"/>
      <c r="B159" s="122"/>
      <c r="C159" s="200"/>
      <c r="D159" s="200"/>
      <c r="E159" s="334"/>
      <c r="F159" s="211"/>
      <c r="G159" s="333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64"/>
    </row>
    <row r="160" spans="1:35" s="1" customFormat="1" ht="12">
      <c r="A160" s="269" t="s">
        <v>252</v>
      </c>
      <c r="B160" s="95" t="s">
        <v>245</v>
      </c>
      <c r="E160" s="325">
        <v>0</v>
      </c>
      <c r="F160" s="325">
        <f>E160+1</f>
        <v>1</v>
      </c>
      <c r="G160" s="325">
        <f t="shared" ref="G160:T160" si="40">F160+1</f>
        <v>2</v>
      </c>
      <c r="H160" s="325">
        <f t="shared" si="40"/>
        <v>3</v>
      </c>
      <c r="I160" s="325">
        <f t="shared" si="40"/>
        <v>4</v>
      </c>
      <c r="J160" s="325">
        <f t="shared" si="40"/>
        <v>5</v>
      </c>
      <c r="K160" s="325">
        <f t="shared" si="40"/>
        <v>6</v>
      </c>
      <c r="L160" s="325">
        <f t="shared" si="40"/>
        <v>7</v>
      </c>
      <c r="M160" s="325">
        <f t="shared" si="40"/>
        <v>8</v>
      </c>
      <c r="N160" s="325">
        <f t="shared" si="40"/>
        <v>9</v>
      </c>
      <c r="O160" s="325">
        <f t="shared" si="40"/>
        <v>10</v>
      </c>
      <c r="P160" s="325">
        <f t="shared" si="40"/>
        <v>11</v>
      </c>
      <c r="Q160" s="325">
        <f t="shared" si="40"/>
        <v>12</v>
      </c>
      <c r="R160" s="325">
        <f t="shared" si="40"/>
        <v>13</v>
      </c>
      <c r="S160" s="325">
        <f t="shared" si="40"/>
        <v>14</v>
      </c>
      <c r="T160" s="325">
        <f t="shared" si="40"/>
        <v>15</v>
      </c>
    </row>
    <row r="161" spans="1:21" s="26" customFormat="1">
      <c r="A161" s="108" t="s">
        <v>34</v>
      </c>
      <c r="B161" s="118" t="s">
        <v>92</v>
      </c>
      <c r="C161" s="301" t="s">
        <v>0</v>
      </c>
      <c r="D161" s="301"/>
      <c r="E161" s="102">
        <f>E162+E163+E164+E165</f>
        <v>0</v>
      </c>
      <c r="F161" s="102">
        <f t="shared" ref="F161:T161" si="41">F162+F163+F164+F165</f>
        <v>-539.30439878627658</v>
      </c>
      <c r="G161" s="102">
        <f t="shared" si="41"/>
        <v>-549.91124470904469</v>
      </c>
      <c r="H161" s="102">
        <f t="shared" si="41"/>
        <v>-560.51809063181281</v>
      </c>
      <c r="I161" s="102">
        <f t="shared" si="41"/>
        <v>-571.12493655830622</v>
      </c>
      <c r="J161" s="102">
        <f t="shared" si="41"/>
        <v>-581.73178248107433</v>
      </c>
      <c r="K161" s="102">
        <f t="shared" si="41"/>
        <v>17853721.692254264</v>
      </c>
      <c r="L161" s="102">
        <f t="shared" si="41"/>
        <v>-627615.42397967353</v>
      </c>
      <c r="M161" s="102">
        <f t="shared" si="41"/>
        <v>-635923.71572195366</v>
      </c>
      <c r="N161" s="102">
        <f t="shared" si="41"/>
        <v>-644232.00746423751</v>
      </c>
      <c r="O161" s="102">
        <f t="shared" si="41"/>
        <v>-652540.29920652136</v>
      </c>
      <c r="P161" s="102">
        <f t="shared" si="41"/>
        <v>-660848.59094880521</v>
      </c>
      <c r="Q161" s="102">
        <f t="shared" si="41"/>
        <v>-12369156.882691085</v>
      </c>
      <c r="R161" s="102">
        <f t="shared" si="41"/>
        <v>-295854.49718239158</v>
      </c>
      <c r="S161" s="102">
        <f t="shared" si="41"/>
        <v>29465837.211075325</v>
      </c>
      <c r="T161" s="102">
        <f t="shared" si="41"/>
        <v>4597263.149402475</v>
      </c>
      <c r="U161" s="13"/>
    </row>
    <row r="162" spans="1:21" s="1" customFormat="1" ht="12">
      <c r="A162" s="96" t="s">
        <v>43</v>
      </c>
      <c r="B162" s="111" t="s">
        <v>33</v>
      </c>
      <c r="C162" s="214" t="s">
        <v>0</v>
      </c>
      <c r="D162" s="214"/>
      <c r="E162" s="23">
        <f t="shared" ref="E162:T162" si="42">E111</f>
        <v>0</v>
      </c>
      <c r="F162" s="23">
        <f t="shared" si="42"/>
        <v>0</v>
      </c>
      <c r="G162" s="23">
        <f t="shared" si="42"/>
        <v>0</v>
      </c>
      <c r="H162" s="23">
        <f t="shared" si="42"/>
        <v>0</v>
      </c>
      <c r="I162" s="23">
        <f t="shared" si="42"/>
        <v>0</v>
      </c>
      <c r="J162" s="23">
        <f t="shared" si="42"/>
        <v>0</v>
      </c>
      <c r="K162" s="23">
        <f t="shared" si="42"/>
        <v>18070000</v>
      </c>
      <c r="L162" s="23">
        <f t="shared" si="42"/>
        <v>0</v>
      </c>
      <c r="M162" s="23">
        <f t="shared" si="42"/>
        <v>0</v>
      </c>
      <c r="N162" s="23">
        <f t="shared" si="42"/>
        <v>0</v>
      </c>
      <c r="O162" s="23">
        <f t="shared" si="42"/>
        <v>0</v>
      </c>
      <c r="P162" s="23">
        <f t="shared" si="42"/>
        <v>0</v>
      </c>
      <c r="Q162" s="23">
        <f t="shared" si="42"/>
        <v>-11700000</v>
      </c>
      <c r="R162" s="23">
        <f t="shared" si="42"/>
        <v>0</v>
      </c>
      <c r="S162" s="23">
        <f t="shared" si="42"/>
        <v>29770000</v>
      </c>
      <c r="T162" s="23">
        <f t="shared" si="42"/>
        <v>0</v>
      </c>
    </row>
    <row r="163" spans="1:21" s="1" customFormat="1" ht="12">
      <c r="A163" s="96" t="s">
        <v>44</v>
      </c>
      <c r="B163" s="111" t="s">
        <v>93</v>
      </c>
      <c r="C163" s="214" t="s">
        <v>0</v>
      </c>
      <c r="D163" s="214"/>
      <c r="E163" s="23">
        <f t="shared" ref="E163:T163" si="43">E137</f>
        <v>0</v>
      </c>
      <c r="F163" s="23">
        <f t="shared" si="43"/>
        <v>-539.30439878627658</v>
      </c>
      <c r="G163" s="23">
        <f t="shared" si="43"/>
        <v>-549.91124470904469</v>
      </c>
      <c r="H163" s="23">
        <f t="shared" si="43"/>
        <v>-560.51809063181281</v>
      </c>
      <c r="I163" s="23">
        <f t="shared" si="43"/>
        <v>-571.12493655830622</v>
      </c>
      <c r="J163" s="23">
        <f t="shared" si="43"/>
        <v>-581.73178248107433</v>
      </c>
      <c r="K163" s="23">
        <f t="shared" si="43"/>
        <v>-216278.30774573609</v>
      </c>
      <c r="L163" s="23">
        <f t="shared" si="43"/>
        <v>-627615.42397967353</v>
      </c>
      <c r="M163" s="23">
        <f t="shared" si="43"/>
        <v>-635923.71572195366</v>
      </c>
      <c r="N163" s="23">
        <f t="shared" si="43"/>
        <v>-644232.00746423751</v>
      </c>
      <c r="O163" s="23">
        <f t="shared" si="43"/>
        <v>-652540.29920652136</v>
      </c>
      <c r="P163" s="23">
        <f t="shared" si="43"/>
        <v>-660848.59094880521</v>
      </c>
      <c r="Q163" s="23">
        <f t="shared" si="43"/>
        <v>-669156.88269108534</v>
      </c>
      <c r="R163" s="23">
        <f t="shared" si="43"/>
        <v>-295854.49718239158</v>
      </c>
      <c r="S163" s="23">
        <f t="shared" si="43"/>
        <v>-304162.78892467543</v>
      </c>
      <c r="T163" s="23">
        <f t="shared" si="43"/>
        <v>-754818.98306333274</v>
      </c>
    </row>
    <row r="164" spans="1:21" s="1" customFormat="1" ht="12">
      <c r="A164" s="96" t="s">
        <v>45</v>
      </c>
      <c r="B164" s="111" t="s">
        <v>60</v>
      </c>
      <c r="C164" s="214" t="s">
        <v>0</v>
      </c>
      <c r="D164" s="214"/>
      <c r="E164" s="23">
        <f>E113</f>
        <v>0</v>
      </c>
      <c r="F164" s="23">
        <f t="shared" ref="F164:T164" si="44">F113</f>
        <v>0</v>
      </c>
      <c r="G164" s="23">
        <f t="shared" si="44"/>
        <v>0</v>
      </c>
      <c r="H164" s="23">
        <f t="shared" si="44"/>
        <v>0</v>
      </c>
      <c r="I164" s="23">
        <f t="shared" si="44"/>
        <v>0</v>
      </c>
      <c r="J164" s="23">
        <f t="shared" si="44"/>
        <v>0</v>
      </c>
      <c r="K164" s="23">
        <f t="shared" si="44"/>
        <v>0</v>
      </c>
      <c r="L164" s="23">
        <f t="shared" si="44"/>
        <v>0</v>
      </c>
      <c r="M164" s="23">
        <f t="shared" si="44"/>
        <v>0</v>
      </c>
      <c r="N164" s="23">
        <f t="shared" si="44"/>
        <v>0</v>
      </c>
      <c r="O164" s="23">
        <f t="shared" si="44"/>
        <v>0</v>
      </c>
      <c r="P164" s="23">
        <f t="shared" si="44"/>
        <v>0</v>
      </c>
      <c r="Q164" s="23">
        <f t="shared" si="44"/>
        <v>0</v>
      </c>
      <c r="R164" s="23">
        <f t="shared" si="44"/>
        <v>0</v>
      </c>
      <c r="S164" s="23">
        <f t="shared" si="44"/>
        <v>0</v>
      </c>
      <c r="T164" s="23">
        <f t="shared" si="44"/>
        <v>0</v>
      </c>
    </row>
    <row r="165" spans="1:21" s="1" customFormat="1" ht="12">
      <c r="A165" s="96" t="s">
        <v>76</v>
      </c>
      <c r="B165" s="111" t="s">
        <v>53</v>
      </c>
      <c r="C165" s="214" t="s">
        <v>0</v>
      </c>
      <c r="D165" s="214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>
        <f>IF(D157&gt;0,D157,0)</f>
        <v>5352082.1324658077</v>
      </c>
    </row>
    <row r="166" spans="1:21" s="13" customFormat="1" ht="12">
      <c r="A166" s="108" t="s">
        <v>35</v>
      </c>
      <c r="B166" s="118" t="s">
        <v>95</v>
      </c>
      <c r="C166" s="301"/>
      <c r="D166" s="301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</row>
    <row r="167" spans="1:21" s="1" customFormat="1" ht="12">
      <c r="A167" s="96" t="s">
        <v>49</v>
      </c>
      <c r="B167" s="111" t="s">
        <v>195</v>
      </c>
      <c r="C167" s="214" t="s">
        <v>90</v>
      </c>
      <c r="D167" s="214"/>
      <c r="E167" s="39">
        <f>Założenia!$E$33</f>
        <v>0.83</v>
      </c>
      <c r="F167" s="39">
        <f>Założenia!$E$33</f>
        <v>0.83</v>
      </c>
      <c r="G167" s="39">
        <f>Założenia!$E$33</f>
        <v>0.83</v>
      </c>
      <c r="H167" s="39">
        <f>Założenia!$E$33</f>
        <v>0.83</v>
      </c>
      <c r="I167" s="39">
        <f>Założenia!$E$33</f>
        <v>0.83</v>
      </c>
      <c r="J167" s="39">
        <f>Założenia!$E$33</f>
        <v>0.83</v>
      </c>
      <c r="K167" s="39">
        <f>Założenia!$E$33</f>
        <v>0.83</v>
      </c>
      <c r="L167" s="39">
        <f>Założenia!$E$33</f>
        <v>0.83</v>
      </c>
      <c r="M167" s="39">
        <f>Założenia!$E$33</f>
        <v>0.83</v>
      </c>
      <c r="N167" s="39">
        <f>Założenia!$E$33</f>
        <v>0.83</v>
      </c>
      <c r="O167" s="39">
        <f>Założenia!$E$33</f>
        <v>0.83</v>
      </c>
      <c r="P167" s="39">
        <f>Założenia!$E$33</f>
        <v>0.83</v>
      </c>
      <c r="Q167" s="39">
        <f>Założenia!$E$33</f>
        <v>0.83</v>
      </c>
      <c r="R167" s="39">
        <f>Założenia!$E$33</f>
        <v>0.83</v>
      </c>
      <c r="S167" s="39">
        <f>Założenia!$E$33</f>
        <v>0.83</v>
      </c>
      <c r="T167" s="39">
        <f>Założenia!$E$33</f>
        <v>0.83</v>
      </c>
    </row>
    <row r="168" spans="1:21" s="1" customFormat="1" ht="12">
      <c r="A168" s="96" t="s">
        <v>50</v>
      </c>
      <c r="B168" s="111" t="s">
        <v>196</v>
      </c>
      <c r="C168" s="214"/>
      <c r="D168" s="214"/>
      <c r="E168" s="39">
        <f>Założenia!$E$34</f>
        <v>0.87</v>
      </c>
      <c r="F168" s="39">
        <f>Założenia!$E$34</f>
        <v>0.87</v>
      </c>
      <c r="G168" s="39">
        <f>Założenia!$E$34</f>
        <v>0.87</v>
      </c>
      <c r="H168" s="39">
        <f>Założenia!$E$34</f>
        <v>0.87</v>
      </c>
      <c r="I168" s="39">
        <f>Założenia!$E$34</f>
        <v>0.87</v>
      </c>
      <c r="J168" s="39">
        <f>Założenia!$E$34</f>
        <v>0.87</v>
      </c>
      <c r="K168" s="39">
        <f>Założenia!$E$34</f>
        <v>0.87</v>
      </c>
      <c r="L168" s="39">
        <f>Założenia!$E$34</f>
        <v>0.87</v>
      </c>
      <c r="M168" s="39">
        <f>Założenia!$E$34</f>
        <v>0.87</v>
      </c>
      <c r="N168" s="39">
        <f>Założenia!$E$34</f>
        <v>0.87</v>
      </c>
      <c r="O168" s="39">
        <f>Założenia!$E$34</f>
        <v>0.87</v>
      </c>
      <c r="P168" s="39">
        <f>Założenia!$E$34</f>
        <v>0.87</v>
      </c>
      <c r="Q168" s="39">
        <f>Założenia!$E$34</f>
        <v>0.87</v>
      </c>
      <c r="R168" s="39">
        <f>Założenia!$E$34</f>
        <v>0.87</v>
      </c>
      <c r="S168" s="39">
        <f>Założenia!$E$34</f>
        <v>0.87</v>
      </c>
      <c r="T168" s="39">
        <f>Założenia!$E$34</f>
        <v>0.87</v>
      </c>
    </row>
    <row r="169" spans="1:21" s="1" customFormat="1" ht="12">
      <c r="A169" s="96" t="s">
        <v>61</v>
      </c>
      <c r="B169" s="111" t="s">
        <v>96</v>
      </c>
      <c r="C169" s="214" t="s">
        <v>90</v>
      </c>
      <c r="D169" s="214"/>
      <c r="E169" s="39">
        <f>Założenia!$E$35</f>
        <v>0.78</v>
      </c>
      <c r="F169" s="39">
        <f>Założenia!$E$35</f>
        <v>0.78</v>
      </c>
      <c r="G169" s="39">
        <f>Założenia!$E$35</f>
        <v>0.78</v>
      </c>
      <c r="H169" s="39">
        <f>Założenia!$E$35</f>
        <v>0.78</v>
      </c>
      <c r="I169" s="39">
        <f>Założenia!$E$35</f>
        <v>0.78</v>
      </c>
      <c r="J169" s="39">
        <f>Założenia!$E$35</f>
        <v>0.78</v>
      </c>
      <c r="K169" s="39">
        <f>Założenia!$E$35</f>
        <v>0.78</v>
      </c>
      <c r="L169" s="39">
        <f>Założenia!$E$35</f>
        <v>0.78</v>
      </c>
      <c r="M169" s="39">
        <f>Założenia!$E$35</f>
        <v>0.78</v>
      </c>
      <c r="N169" s="39">
        <f>Założenia!$E$35</f>
        <v>0.78</v>
      </c>
      <c r="O169" s="39">
        <f>Założenia!$E$35</f>
        <v>0.78</v>
      </c>
      <c r="P169" s="39">
        <f>Założenia!$E$35</f>
        <v>0.78</v>
      </c>
      <c r="Q169" s="39">
        <f>Założenia!$E$35</f>
        <v>0.78</v>
      </c>
      <c r="R169" s="39">
        <f>Założenia!$E$35</f>
        <v>0.78</v>
      </c>
      <c r="S169" s="39">
        <f>Założenia!$E$35</f>
        <v>0.78</v>
      </c>
      <c r="T169" s="39">
        <f>Założenia!$E$35</f>
        <v>0.78</v>
      </c>
    </row>
    <row r="170" spans="1:21" s="1" customFormat="1" ht="12">
      <c r="A170" s="108" t="s">
        <v>30</v>
      </c>
      <c r="B170" s="118" t="s">
        <v>97</v>
      </c>
      <c r="C170" s="214" t="s">
        <v>0</v>
      </c>
      <c r="D170" s="214"/>
      <c r="E170" s="102">
        <f>E171+E172+E173+E174</f>
        <v>0</v>
      </c>
      <c r="F170" s="102">
        <f t="shared" ref="F170:T170" si="45">F171+F172+F173+F174</f>
        <v>-420.65743105329574</v>
      </c>
      <c r="G170" s="102">
        <f t="shared" si="45"/>
        <v>-428.93077087305488</v>
      </c>
      <c r="H170" s="102">
        <f t="shared" si="45"/>
        <v>-437.20411069281403</v>
      </c>
      <c r="I170" s="102">
        <f t="shared" si="45"/>
        <v>-445.47745051547889</v>
      </c>
      <c r="J170" s="102">
        <f t="shared" si="45"/>
        <v>-453.75079033523798</v>
      </c>
      <c r="K170" s="102">
        <f t="shared" si="45"/>
        <v>15552202.919958325</v>
      </c>
      <c r="L170" s="102">
        <f t="shared" si="45"/>
        <v>-489540.03070414538</v>
      </c>
      <c r="M170" s="102">
        <f t="shared" si="45"/>
        <v>-496020.49826312385</v>
      </c>
      <c r="N170" s="102">
        <f t="shared" si="45"/>
        <v>-502500.9658221053</v>
      </c>
      <c r="O170" s="102">
        <f t="shared" si="45"/>
        <v>-508981.43338108668</v>
      </c>
      <c r="P170" s="102">
        <f t="shared" si="45"/>
        <v>-515461.90094006807</v>
      </c>
      <c r="Q170" s="102">
        <f t="shared" si="45"/>
        <v>-10700942.368499046</v>
      </c>
      <c r="R170" s="102">
        <f t="shared" si="45"/>
        <v>-230766.50780226543</v>
      </c>
      <c r="S170" s="102">
        <f t="shared" si="45"/>
        <v>25662653.024638753</v>
      </c>
      <c r="T170" s="102">
        <f t="shared" si="45"/>
        <v>4763323.3256764077</v>
      </c>
    </row>
    <row r="171" spans="1:21" s="1" customFormat="1" ht="12">
      <c r="A171" s="96" t="s">
        <v>51</v>
      </c>
      <c r="B171" s="111" t="s">
        <v>33</v>
      </c>
      <c r="C171" s="214" t="s">
        <v>0</v>
      </c>
      <c r="D171" s="300">
        <f>SUMPRODUCT(E171:T171,$E$184:$T$184)</f>
        <v>20055066.765639745</v>
      </c>
      <c r="E171" s="23">
        <f>E111*E168+E112*E167</f>
        <v>0</v>
      </c>
      <c r="F171" s="23">
        <f t="shared" ref="F171:T171" si="46">F111*F168+F112*F167</f>
        <v>0</v>
      </c>
      <c r="G171" s="23">
        <f t="shared" si="46"/>
        <v>0</v>
      </c>
      <c r="H171" s="23">
        <f t="shared" si="46"/>
        <v>0</v>
      </c>
      <c r="I171" s="23">
        <f t="shared" si="46"/>
        <v>0</v>
      </c>
      <c r="J171" s="23">
        <f t="shared" si="46"/>
        <v>0</v>
      </c>
      <c r="K171" s="23">
        <f t="shared" si="46"/>
        <v>15720900</v>
      </c>
      <c r="L171" s="23">
        <f t="shared" si="46"/>
        <v>0</v>
      </c>
      <c r="M171" s="23">
        <f t="shared" si="46"/>
        <v>0</v>
      </c>
      <c r="N171" s="23">
        <f t="shared" si="46"/>
        <v>0</v>
      </c>
      <c r="O171" s="23">
        <f t="shared" si="46"/>
        <v>0</v>
      </c>
      <c r="P171" s="23">
        <f t="shared" si="46"/>
        <v>0</v>
      </c>
      <c r="Q171" s="23">
        <f t="shared" si="46"/>
        <v>-10179000</v>
      </c>
      <c r="R171" s="23">
        <f t="shared" si="46"/>
        <v>0</v>
      </c>
      <c r="S171" s="23">
        <f t="shared" si="46"/>
        <v>25899900</v>
      </c>
      <c r="T171" s="23">
        <f t="shared" si="46"/>
        <v>0</v>
      </c>
    </row>
    <row r="172" spans="1:21" s="1" customFormat="1" ht="12">
      <c r="A172" s="96" t="s">
        <v>52</v>
      </c>
      <c r="B172" s="111" t="s">
        <v>93</v>
      </c>
      <c r="C172" s="214" t="s">
        <v>0</v>
      </c>
      <c r="D172" s="300">
        <f>SUMPRODUCT(E172:T172,$E$184:$T$184)</f>
        <v>-2693805.5951809841</v>
      </c>
      <c r="E172" s="23">
        <f>E163*E169</f>
        <v>0</v>
      </c>
      <c r="F172" s="23">
        <f t="shared" ref="F172:T172" si="47">F163*F169</f>
        <v>-420.65743105329574</v>
      </c>
      <c r="G172" s="23">
        <f t="shared" si="47"/>
        <v>-428.93077087305488</v>
      </c>
      <c r="H172" s="23">
        <f t="shared" si="47"/>
        <v>-437.20411069281403</v>
      </c>
      <c r="I172" s="23">
        <f t="shared" si="47"/>
        <v>-445.47745051547889</v>
      </c>
      <c r="J172" s="23">
        <f t="shared" si="47"/>
        <v>-453.75079033523798</v>
      </c>
      <c r="K172" s="23">
        <f t="shared" si="47"/>
        <v>-168697.08004167417</v>
      </c>
      <c r="L172" s="23">
        <f t="shared" si="47"/>
        <v>-489540.03070414538</v>
      </c>
      <c r="M172" s="23">
        <f t="shared" si="47"/>
        <v>-496020.49826312385</v>
      </c>
      <c r="N172" s="23">
        <f t="shared" si="47"/>
        <v>-502500.9658221053</v>
      </c>
      <c r="O172" s="23">
        <f t="shared" si="47"/>
        <v>-508981.43338108668</v>
      </c>
      <c r="P172" s="23">
        <f t="shared" si="47"/>
        <v>-515461.90094006807</v>
      </c>
      <c r="Q172" s="23">
        <f t="shared" si="47"/>
        <v>-521942.3684990466</v>
      </c>
      <c r="R172" s="23">
        <f t="shared" si="47"/>
        <v>-230766.50780226543</v>
      </c>
      <c r="S172" s="23">
        <f t="shared" si="47"/>
        <v>-237246.97536124685</v>
      </c>
      <c r="T172" s="23">
        <f t="shared" si="47"/>
        <v>-588758.80678939959</v>
      </c>
    </row>
    <row r="173" spans="1:21" s="1" customFormat="1" ht="12">
      <c r="A173" s="96" t="s">
        <v>58</v>
      </c>
      <c r="B173" s="111" t="s">
        <v>60</v>
      </c>
      <c r="C173" s="214" t="s">
        <v>0</v>
      </c>
      <c r="D173" s="300">
        <f>SUMPRODUCT(E173:T173,$E$184:$T$184)</f>
        <v>0</v>
      </c>
      <c r="E173" s="23">
        <f>E164*E168</f>
        <v>0</v>
      </c>
      <c r="F173" s="23">
        <f t="shared" ref="F173:T173" si="48">F164*F168</f>
        <v>0</v>
      </c>
      <c r="G173" s="23">
        <f t="shared" si="48"/>
        <v>0</v>
      </c>
      <c r="H173" s="23">
        <f t="shared" si="48"/>
        <v>0</v>
      </c>
      <c r="I173" s="23">
        <f t="shared" si="48"/>
        <v>0</v>
      </c>
      <c r="J173" s="23">
        <f t="shared" si="48"/>
        <v>0</v>
      </c>
      <c r="K173" s="23">
        <f t="shared" si="48"/>
        <v>0</v>
      </c>
      <c r="L173" s="23">
        <f t="shared" si="48"/>
        <v>0</v>
      </c>
      <c r="M173" s="23">
        <f t="shared" si="48"/>
        <v>0</v>
      </c>
      <c r="N173" s="23">
        <f t="shared" si="48"/>
        <v>0</v>
      </c>
      <c r="O173" s="23">
        <f t="shared" si="48"/>
        <v>0</v>
      </c>
      <c r="P173" s="23">
        <f t="shared" si="48"/>
        <v>0</v>
      </c>
      <c r="Q173" s="23">
        <f t="shared" si="48"/>
        <v>0</v>
      </c>
      <c r="R173" s="23">
        <f t="shared" si="48"/>
        <v>0</v>
      </c>
      <c r="S173" s="23">
        <f t="shared" si="48"/>
        <v>0</v>
      </c>
      <c r="T173" s="23">
        <f t="shared" si="48"/>
        <v>0</v>
      </c>
    </row>
    <row r="174" spans="1:21" s="1" customFormat="1" ht="12">
      <c r="A174" s="96" t="s">
        <v>206</v>
      </c>
      <c r="B174" s="111" t="s">
        <v>53</v>
      </c>
      <c r="C174" s="214" t="s">
        <v>0</v>
      </c>
      <c r="D174" s="300">
        <f>SUMPRODUCT(E174:T174,$E$184:$T$184)</f>
        <v>2765530.2467980506</v>
      </c>
      <c r="E174" s="23">
        <f t="shared" ref="E174:T174" si="49">E165</f>
        <v>0</v>
      </c>
      <c r="F174" s="23">
        <f t="shared" si="49"/>
        <v>0</v>
      </c>
      <c r="G174" s="23">
        <f t="shared" si="49"/>
        <v>0</v>
      </c>
      <c r="H174" s="23">
        <f t="shared" si="49"/>
        <v>0</v>
      </c>
      <c r="I174" s="23">
        <f t="shared" si="49"/>
        <v>0</v>
      </c>
      <c r="J174" s="23">
        <f t="shared" si="49"/>
        <v>0</v>
      </c>
      <c r="K174" s="23">
        <f t="shared" si="49"/>
        <v>0</v>
      </c>
      <c r="L174" s="23">
        <f t="shared" si="49"/>
        <v>0</v>
      </c>
      <c r="M174" s="23">
        <f t="shared" si="49"/>
        <v>0</v>
      </c>
      <c r="N174" s="23">
        <f t="shared" si="49"/>
        <v>0</v>
      </c>
      <c r="O174" s="23">
        <f t="shared" si="49"/>
        <v>0</v>
      </c>
      <c r="P174" s="23">
        <f t="shared" si="49"/>
        <v>0</v>
      </c>
      <c r="Q174" s="23">
        <f t="shared" si="49"/>
        <v>0</v>
      </c>
      <c r="R174" s="23">
        <f t="shared" si="49"/>
        <v>0</v>
      </c>
      <c r="S174" s="23">
        <f t="shared" si="49"/>
        <v>0</v>
      </c>
      <c r="T174" s="23">
        <f t="shared" si="49"/>
        <v>5352082.1324658077</v>
      </c>
    </row>
    <row r="175" spans="1:21" s="1" customFormat="1" ht="12">
      <c r="A175" s="108" t="s">
        <v>31</v>
      </c>
      <c r="B175" s="118" t="s">
        <v>98</v>
      </c>
      <c r="C175" s="214" t="s">
        <v>0</v>
      </c>
      <c r="D175" s="302">
        <f>SUM(E175:T175)</f>
        <v>-13390.730179249862</v>
      </c>
      <c r="E175" s="22">
        <f>E176+E177+E178</f>
        <v>0</v>
      </c>
      <c r="F175" s="22">
        <f t="shared" ref="F175:T175" si="50">F176+F177+F178</f>
        <v>241.66503596879193</v>
      </c>
      <c r="G175" s="22">
        <f t="shared" si="50"/>
        <v>250.47357683972223</v>
      </c>
      <c r="H175" s="22">
        <f t="shared" si="50"/>
        <v>258.12311694858363</v>
      </c>
      <c r="I175" s="22">
        <f t="shared" si="50"/>
        <v>265.66554245408042</v>
      </c>
      <c r="J175" s="22">
        <f t="shared" si="50"/>
        <v>273.42872403506772</v>
      </c>
      <c r="K175" s="22">
        <f t="shared" si="50"/>
        <v>281.42146198306</v>
      </c>
      <c r="L175" s="22">
        <f t="shared" si="50"/>
        <v>-1507.5088768019923</v>
      </c>
      <c r="M175" s="22">
        <f t="shared" si="50"/>
        <v>-1546.9087235914194</v>
      </c>
      <c r="N175" s="22">
        <f t="shared" si="50"/>
        <v>-1585.8450161714572</v>
      </c>
      <c r="O175" s="22">
        <f t="shared" si="50"/>
        <v>-1624.2435627158266</v>
      </c>
      <c r="P175" s="22">
        <f t="shared" si="50"/>
        <v>-1662.6509473751066</v>
      </c>
      <c r="Q175" s="22">
        <f t="shared" si="50"/>
        <v>-1701.0352532151155</v>
      </c>
      <c r="R175" s="22">
        <f t="shared" si="50"/>
        <v>-1739.3622408377705</v>
      </c>
      <c r="S175" s="22">
        <f t="shared" si="50"/>
        <v>-1777.5949643700151</v>
      </c>
      <c r="T175" s="22">
        <f t="shared" si="50"/>
        <v>-1816.3580524004647</v>
      </c>
    </row>
    <row r="176" spans="1:21" s="1" customFormat="1" ht="14.25" customHeight="1">
      <c r="A176" s="96" t="s">
        <v>89</v>
      </c>
      <c r="B176" s="124" t="s">
        <v>101</v>
      </c>
      <c r="C176" s="214" t="s">
        <v>0</v>
      </c>
      <c r="D176" s="300">
        <f>SUMPRODUCT(E176:T176,$E$184:$T$184)</f>
        <v>-5303.7160460822142</v>
      </c>
      <c r="E176" s="23">
        <f>-(E60-'Scenariusz bazowy'!E60)</f>
        <v>0</v>
      </c>
      <c r="F176" s="23">
        <f>-(F60-'Scenariusz bazowy'!F60)</f>
        <v>47.899612607288873</v>
      </c>
      <c r="G176" s="23">
        <f>-(G60-'Scenariusz bazowy'!G60)</f>
        <v>49.739224837947404</v>
      </c>
      <c r="H176" s="23">
        <f>-(H60-'Scenariusz bazowy'!H60)</f>
        <v>51.297293351730332</v>
      </c>
      <c r="I176" s="23">
        <f>-(I60-'Scenariusz bazowy'!I60)</f>
        <v>52.829341655131429</v>
      </c>
      <c r="J176" s="23">
        <f>-(J60-'Scenariusz bazowy'!J60)</f>
        <v>54.415015881997533</v>
      </c>
      <c r="K176" s="23">
        <f>-(K60-'Scenariusz bazowy'!K60)</f>
        <v>56.056453793251421</v>
      </c>
      <c r="L176" s="23">
        <f>-(L60-'Scenariusz bazowy'!L60)</f>
        <v>-904.52529684413457</v>
      </c>
      <c r="M176" s="23">
        <f>-(M60-'Scenariusz bazowy'!M60)</f>
        <v>-930.63131351757329</v>
      </c>
      <c r="N176" s="23">
        <f>-(N60-'Scenariusz bazowy'!N60)</f>
        <v>-956.13327041530283</v>
      </c>
      <c r="O176" s="23">
        <f>-(O60-'Scenariusz bazowy'!O60)</f>
        <v>-980.93448780331528</v>
      </c>
      <c r="P176" s="23">
        <f>-(P60-'Scenariusz bazowy'!P60)</f>
        <v>-1005.7472221824573</v>
      </c>
      <c r="Q176" s="23">
        <f>-(Q60-'Scenariusz bazowy'!Q60)</f>
        <v>-1030.5298824387137</v>
      </c>
      <c r="R176" s="23">
        <f>-(R60-'Scenariusz bazowy'!R60)</f>
        <v>-1055.2378510427661</v>
      </c>
      <c r="S176" s="23">
        <f>-(S60-'Scenariusz bazowy'!S60)</f>
        <v>-1079.8229836464743</v>
      </c>
      <c r="T176" s="23">
        <f>-(T60-'Scenariusz bazowy'!T60)</f>
        <v>-1105.099236842012</v>
      </c>
    </row>
    <row r="177" spans="1:30" s="1" customFormat="1" ht="12">
      <c r="A177" s="96" t="s">
        <v>102</v>
      </c>
      <c r="B177" s="124" t="s">
        <v>99</v>
      </c>
      <c r="C177" s="214" t="s">
        <v>0</v>
      </c>
      <c r="D177" s="300">
        <f>SUMPRODUCT(E177:T177,$E$184:$T$184)</f>
        <v>-4696.2087369511737</v>
      </c>
      <c r="E177" s="23">
        <f>-(E43-'Scenariusz bazowy'!E43)</f>
        <v>0</v>
      </c>
      <c r="F177" s="23">
        <f>-(F43-'Scenariusz bazowy'!F43)</f>
        <v>44.481848421215545</v>
      </c>
      <c r="G177" s="23">
        <f>-(G43-'Scenariusz bazowy'!G43)</f>
        <v>45.717455321777379</v>
      </c>
      <c r="H177" s="23">
        <f>-(H43-'Scenariusz bazowy'!H43)</f>
        <v>46.953062222397421</v>
      </c>
      <c r="I177" s="23">
        <f>-(I43-'Scenariusz bazowy'!I43)</f>
        <v>48.188669122959254</v>
      </c>
      <c r="J177" s="23">
        <f>-(J43-'Scenariusz bazowy'!J43)</f>
        <v>49.424276023550192</v>
      </c>
      <c r="K177" s="23">
        <f>-(K43-'Scenariusz bazowy'!K43)</f>
        <v>50.659882924170233</v>
      </c>
      <c r="L177" s="23">
        <f>-(L43-'Scenariusz bazowy'!L43)</f>
        <v>-813.37805405096151</v>
      </c>
      <c r="M177" s="23">
        <f>-(M43-'Scenariusz bazowy'!M43)</f>
        <v>-832.74419819499599</v>
      </c>
      <c r="N177" s="23">
        <f>-(N43-'Scenariusz bazowy'!N43)</f>
        <v>-852.11034233908867</v>
      </c>
      <c r="O177" s="23">
        <f>-(O43-'Scenariusz bazowy'!O43)</f>
        <v>-871.47648648318136</v>
      </c>
      <c r="P177" s="23">
        <f>-(P43-'Scenariusz bazowy'!P43)</f>
        <v>-890.84263062721584</v>
      </c>
      <c r="Q177" s="23">
        <f>-(Q43-'Scenariusz bazowy'!Q43)</f>
        <v>-910.20877477130853</v>
      </c>
      <c r="R177" s="23">
        <f>-(R43-'Scenariusz bazowy'!R43)</f>
        <v>-929.57491891540121</v>
      </c>
      <c r="S177" s="23">
        <f>-(S43-'Scenariusz bazowy'!S43)</f>
        <v>-948.94106305943569</v>
      </c>
      <c r="T177" s="23">
        <f>-(T43-'Scenariusz bazowy'!T43)</f>
        <v>-968.30720720352838</v>
      </c>
    </row>
    <row r="178" spans="1:30" s="1" customFormat="1" ht="12">
      <c r="A178" s="96" t="s">
        <v>103</v>
      </c>
      <c r="B178" s="124" t="s">
        <v>100</v>
      </c>
      <c r="C178" s="214" t="s">
        <v>0</v>
      </c>
      <c r="D178" s="300">
        <f>SUMPRODUCT(E178:T178,$E$184:$T$184)</f>
        <v>2129.0553620393071</v>
      </c>
      <c r="E178" s="23">
        <f>-(E91-'Scenariusz bazowy'!E91)</f>
        <v>0</v>
      </c>
      <c r="F178" s="23">
        <f>-(F91-'Scenariusz bazowy'!F91)</f>
        <v>149.28357494028751</v>
      </c>
      <c r="G178" s="23">
        <f>-(G91-'Scenariusz bazowy'!G91)</f>
        <v>155.01689667999744</v>
      </c>
      <c r="H178" s="23">
        <f>-(H91-'Scenariusz bazowy'!H91)</f>
        <v>159.87276137445588</v>
      </c>
      <c r="I178" s="23">
        <f>-(I91-'Scenariusz bazowy'!I91)</f>
        <v>164.64753167598974</v>
      </c>
      <c r="J178" s="23">
        <f>-(J91-'Scenariusz bazowy'!J91)</f>
        <v>169.58943212951999</v>
      </c>
      <c r="K178" s="23">
        <f>-(K91-'Scenariusz bazowy'!K91)</f>
        <v>174.70512526563834</v>
      </c>
      <c r="L178" s="23">
        <f>-(L91-'Scenariusz bazowy'!L91)</f>
        <v>210.39447409310378</v>
      </c>
      <c r="M178" s="23">
        <f>-(M91-'Scenariusz bazowy'!M91)</f>
        <v>216.46678812114988</v>
      </c>
      <c r="N178" s="23">
        <f>-(N91-'Scenariusz bazowy'!N91)</f>
        <v>222.39859658293426</v>
      </c>
      <c r="O178" s="23">
        <f>-(O91-'Scenariusz bazowy'!O91)</f>
        <v>228.16741157067008</v>
      </c>
      <c r="P178" s="23">
        <f>-(P91-'Scenariusz bazowy'!P91)</f>
        <v>233.93890543456655</v>
      </c>
      <c r="Q178" s="23">
        <f>-(Q91-'Scenariusz bazowy'!Q91)</f>
        <v>239.70340399490669</v>
      </c>
      <c r="R178" s="23">
        <f>-(R91-'Scenariusz bazowy'!R91)</f>
        <v>245.45052912039682</v>
      </c>
      <c r="S178" s="23">
        <f>-(S91-'Scenariusz bazowy'!S91)</f>
        <v>251.16908233589493</v>
      </c>
      <c r="T178" s="23">
        <f>-(T91-'Scenariusz bazowy'!T91)</f>
        <v>257.04839164507575</v>
      </c>
    </row>
    <row r="179" spans="1:30" s="13" customFormat="1" ht="12">
      <c r="A179" s="108" t="s">
        <v>32</v>
      </c>
      <c r="B179" s="118" t="s">
        <v>104</v>
      </c>
      <c r="C179" s="301" t="s">
        <v>0</v>
      </c>
      <c r="D179" s="301"/>
      <c r="E179" s="22">
        <f>-E180+E181+E182+E183</f>
        <v>0</v>
      </c>
      <c r="F179" s="22">
        <f t="shared" ref="F179:T179" si="51">-F180+F181+F182+F183</f>
        <v>662.32246702208772</v>
      </c>
      <c r="G179" s="22">
        <f t="shared" si="51"/>
        <v>679.40434771277705</v>
      </c>
      <c r="H179" s="22">
        <f t="shared" si="51"/>
        <v>695.32722764139771</v>
      </c>
      <c r="I179" s="22">
        <f t="shared" si="51"/>
        <v>711.14299296955937</v>
      </c>
      <c r="J179" s="22">
        <f t="shared" si="51"/>
        <v>727.1795143703057</v>
      </c>
      <c r="K179" s="22">
        <f t="shared" si="51"/>
        <v>-15551921.498496342</v>
      </c>
      <c r="L179" s="22">
        <f t="shared" si="51"/>
        <v>488032.52182734339</v>
      </c>
      <c r="M179" s="22">
        <f t="shared" si="51"/>
        <v>494473.58953953243</v>
      </c>
      <c r="N179" s="22">
        <f t="shared" si="51"/>
        <v>500915.12080593384</v>
      </c>
      <c r="O179" s="22">
        <f t="shared" si="51"/>
        <v>507357.18981837085</v>
      </c>
      <c r="P179" s="22">
        <f t="shared" si="51"/>
        <v>513799.24999269296</v>
      </c>
      <c r="Q179" s="22">
        <f t="shared" si="51"/>
        <v>10699241.333245831</v>
      </c>
      <c r="R179" s="22">
        <f t="shared" si="51"/>
        <v>229027.14556142766</v>
      </c>
      <c r="S179" s="22">
        <f t="shared" si="51"/>
        <v>-25664430.619603124</v>
      </c>
      <c r="T179" s="22">
        <f t="shared" si="51"/>
        <v>5939024.5812028069</v>
      </c>
    </row>
    <row r="180" spans="1:30" s="13" customFormat="1" ht="12">
      <c r="A180" s="96" t="s">
        <v>109</v>
      </c>
      <c r="B180" s="111" t="s">
        <v>112</v>
      </c>
      <c r="C180" s="214" t="s">
        <v>0</v>
      </c>
      <c r="D180" s="301"/>
      <c r="E180" s="23">
        <f>E171+E172+E173</f>
        <v>0</v>
      </c>
      <c r="F180" s="23">
        <f t="shared" ref="F180:T180" si="52">F171+F172+F173</f>
        <v>-420.65743105329574</v>
      </c>
      <c r="G180" s="23">
        <f t="shared" si="52"/>
        <v>-428.93077087305488</v>
      </c>
      <c r="H180" s="23">
        <f t="shared" si="52"/>
        <v>-437.20411069281403</v>
      </c>
      <c r="I180" s="23">
        <f t="shared" si="52"/>
        <v>-445.47745051547889</v>
      </c>
      <c r="J180" s="23">
        <f t="shared" si="52"/>
        <v>-453.75079033523798</v>
      </c>
      <c r="K180" s="23">
        <f t="shared" si="52"/>
        <v>15552202.919958325</v>
      </c>
      <c r="L180" s="23">
        <f t="shared" si="52"/>
        <v>-489540.03070414538</v>
      </c>
      <c r="M180" s="23">
        <f t="shared" si="52"/>
        <v>-496020.49826312385</v>
      </c>
      <c r="N180" s="23">
        <f t="shared" si="52"/>
        <v>-502500.9658221053</v>
      </c>
      <c r="O180" s="23">
        <f t="shared" si="52"/>
        <v>-508981.43338108668</v>
      </c>
      <c r="P180" s="23">
        <f t="shared" si="52"/>
        <v>-515461.90094006807</v>
      </c>
      <c r="Q180" s="23">
        <f t="shared" si="52"/>
        <v>-10700942.368499046</v>
      </c>
      <c r="R180" s="23">
        <f t="shared" si="52"/>
        <v>-230766.50780226543</v>
      </c>
      <c r="S180" s="23">
        <f t="shared" si="52"/>
        <v>25662653.024638753</v>
      </c>
      <c r="T180" s="23">
        <f t="shared" si="52"/>
        <v>-588758.80678939959</v>
      </c>
    </row>
    <row r="181" spans="1:30" s="13" customFormat="1" ht="12">
      <c r="A181" s="96" t="s">
        <v>110</v>
      </c>
      <c r="B181" s="111" t="s">
        <v>53</v>
      </c>
      <c r="C181" s="214" t="s">
        <v>0</v>
      </c>
      <c r="D181" s="301"/>
      <c r="E181" s="23">
        <f t="shared" ref="E181:T181" si="53">E174</f>
        <v>0</v>
      </c>
      <c r="F181" s="23">
        <f t="shared" si="53"/>
        <v>0</v>
      </c>
      <c r="G181" s="23">
        <f t="shared" si="53"/>
        <v>0</v>
      </c>
      <c r="H181" s="23">
        <f t="shared" si="53"/>
        <v>0</v>
      </c>
      <c r="I181" s="23">
        <f t="shared" si="53"/>
        <v>0</v>
      </c>
      <c r="J181" s="23">
        <f t="shared" si="53"/>
        <v>0</v>
      </c>
      <c r="K181" s="23">
        <f t="shared" si="53"/>
        <v>0</v>
      </c>
      <c r="L181" s="23">
        <f t="shared" si="53"/>
        <v>0</v>
      </c>
      <c r="M181" s="23">
        <f t="shared" si="53"/>
        <v>0</v>
      </c>
      <c r="N181" s="23">
        <f t="shared" si="53"/>
        <v>0</v>
      </c>
      <c r="O181" s="23">
        <f t="shared" si="53"/>
        <v>0</v>
      </c>
      <c r="P181" s="23">
        <f t="shared" si="53"/>
        <v>0</v>
      </c>
      <c r="Q181" s="23">
        <f t="shared" si="53"/>
        <v>0</v>
      </c>
      <c r="R181" s="23">
        <f t="shared" si="53"/>
        <v>0</v>
      </c>
      <c r="S181" s="23">
        <f t="shared" si="53"/>
        <v>0</v>
      </c>
      <c r="T181" s="23">
        <f t="shared" si="53"/>
        <v>5352082.1324658077</v>
      </c>
    </row>
    <row r="182" spans="1:30" s="13" customFormat="1" ht="12">
      <c r="A182" s="96" t="s">
        <v>113</v>
      </c>
      <c r="B182" s="111" t="s">
        <v>107</v>
      </c>
      <c r="C182" s="214" t="s">
        <v>0</v>
      </c>
      <c r="D182" s="301"/>
      <c r="E182" s="23">
        <f t="shared" ref="E182:T182" si="54">SUMIF(E176:E178,"&gt;0")</f>
        <v>0</v>
      </c>
      <c r="F182" s="23">
        <f t="shared" si="54"/>
        <v>241.66503596879193</v>
      </c>
      <c r="G182" s="23">
        <f t="shared" si="54"/>
        <v>250.47357683972223</v>
      </c>
      <c r="H182" s="23">
        <f t="shared" si="54"/>
        <v>258.12311694858363</v>
      </c>
      <c r="I182" s="23">
        <f t="shared" si="54"/>
        <v>265.66554245408042</v>
      </c>
      <c r="J182" s="23">
        <f t="shared" si="54"/>
        <v>273.42872403506772</v>
      </c>
      <c r="K182" s="23">
        <f t="shared" si="54"/>
        <v>281.42146198306</v>
      </c>
      <c r="L182" s="23">
        <f t="shared" si="54"/>
        <v>210.39447409310378</v>
      </c>
      <c r="M182" s="23">
        <f t="shared" si="54"/>
        <v>216.46678812114988</v>
      </c>
      <c r="N182" s="23">
        <f t="shared" si="54"/>
        <v>222.39859658293426</v>
      </c>
      <c r="O182" s="23">
        <f t="shared" si="54"/>
        <v>228.16741157067008</v>
      </c>
      <c r="P182" s="23">
        <f t="shared" si="54"/>
        <v>233.93890543456655</v>
      </c>
      <c r="Q182" s="23">
        <f t="shared" si="54"/>
        <v>239.70340399490669</v>
      </c>
      <c r="R182" s="23">
        <f t="shared" si="54"/>
        <v>245.45052912039682</v>
      </c>
      <c r="S182" s="23">
        <f t="shared" si="54"/>
        <v>251.16908233589493</v>
      </c>
      <c r="T182" s="23">
        <f t="shared" si="54"/>
        <v>257.04839164507575</v>
      </c>
    </row>
    <row r="183" spans="1:30" s="13" customFormat="1" ht="12">
      <c r="A183" s="96" t="s">
        <v>114</v>
      </c>
      <c r="B183" s="111" t="s">
        <v>108</v>
      </c>
      <c r="C183" s="214" t="s">
        <v>0</v>
      </c>
      <c r="D183" s="301"/>
      <c r="E183" s="23">
        <f t="shared" ref="E183:T183" si="55">SUMIF(E176:E178,"&lt;0")</f>
        <v>0</v>
      </c>
      <c r="F183" s="23">
        <f t="shared" si="55"/>
        <v>0</v>
      </c>
      <c r="G183" s="23">
        <f t="shared" si="55"/>
        <v>0</v>
      </c>
      <c r="H183" s="23">
        <f t="shared" si="55"/>
        <v>0</v>
      </c>
      <c r="I183" s="23">
        <f t="shared" si="55"/>
        <v>0</v>
      </c>
      <c r="J183" s="23">
        <f t="shared" si="55"/>
        <v>0</v>
      </c>
      <c r="K183" s="23">
        <f t="shared" si="55"/>
        <v>0</v>
      </c>
      <c r="L183" s="23">
        <f t="shared" si="55"/>
        <v>-1717.9033508950961</v>
      </c>
      <c r="M183" s="23">
        <f t="shared" si="55"/>
        <v>-1763.3755117125693</v>
      </c>
      <c r="N183" s="23">
        <f t="shared" si="55"/>
        <v>-1808.2436127543915</v>
      </c>
      <c r="O183" s="23">
        <f t="shared" si="55"/>
        <v>-1852.4109742864966</v>
      </c>
      <c r="P183" s="23">
        <f t="shared" si="55"/>
        <v>-1896.5898528096732</v>
      </c>
      <c r="Q183" s="23">
        <f t="shared" si="55"/>
        <v>-1940.7386572100222</v>
      </c>
      <c r="R183" s="23">
        <f t="shared" si="55"/>
        <v>-1984.8127699581673</v>
      </c>
      <c r="S183" s="23">
        <f t="shared" si="55"/>
        <v>-2028.76404670591</v>
      </c>
      <c r="T183" s="23">
        <f t="shared" si="55"/>
        <v>-2073.4064440455404</v>
      </c>
    </row>
    <row r="184" spans="1:30" s="1" customFormat="1" ht="12">
      <c r="A184" s="108" t="s">
        <v>36</v>
      </c>
      <c r="B184" s="118" t="s">
        <v>88</v>
      </c>
      <c r="C184" s="214" t="s">
        <v>90</v>
      </c>
      <c r="D184" s="214"/>
      <c r="E184" s="34">
        <v>1</v>
      </c>
      <c r="F184" s="34">
        <f t="shared" ref="F184:T184" si="56">(1/(1+F185)^F160)</f>
        <v>0.95693779904306231</v>
      </c>
      <c r="G184" s="34">
        <f t="shared" si="56"/>
        <v>0.91572995123738021</v>
      </c>
      <c r="H184" s="34">
        <f t="shared" si="56"/>
        <v>0.87629660405490928</v>
      </c>
      <c r="I184" s="34">
        <f t="shared" si="56"/>
        <v>0.83856134359321488</v>
      </c>
      <c r="J184" s="34">
        <f t="shared" si="56"/>
        <v>0.80245104650068411</v>
      </c>
      <c r="K184" s="34">
        <f t="shared" si="56"/>
        <v>0.76789573827816682</v>
      </c>
      <c r="L184" s="34">
        <f t="shared" si="56"/>
        <v>0.73482845768245619</v>
      </c>
      <c r="M184" s="34">
        <f t="shared" si="56"/>
        <v>0.70318512696885782</v>
      </c>
      <c r="N184" s="34">
        <f t="shared" si="56"/>
        <v>0.67290442772139514</v>
      </c>
      <c r="O184" s="34">
        <f t="shared" si="56"/>
        <v>0.64392768203004325</v>
      </c>
      <c r="P184" s="34">
        <f t="shared" si="56"/>
        <v>0.61619873878473042</v>
      </c>
      <c r="Q184" s="34">
        <f t="shared" si="56"/>
        <v>0.58966386486577083</v>
      </c>
      <c r="R184" s="34">
        <f t="shared" si="56"/>
        <v>0.56427164101987637</v>
      </c>
      <c r="S184" s="34">
        <f t="shared" si="56"/>
        <v>0.53997286221997753</v>
      </c>
      <c r="T184" s="34">
        <f t="shared" si="56"/>
        <v>0.51672044231576797</v>
      </c>
    </row>
    <row r="185" spans="1:30" s="1" customFormat="1" ht="12">
      <c r="A185" s="96" t="s">
        <v>111</v>
      </c>
      <c r="B185" s="111" t="s">
        <v>105</v>
      </c>
      <c r="C185" s="214" t="s">
        <v>1</v>
      </c>
      <c r="D185" s="214"/>
      <c r="E185" s="35">
        <f>Założenia!E17</f>
        <v>4.4999999999999998E-2</v>
      </c>
      <c r="F185" s="35">
        <f>Założenia!F17</f>
        <v>4.4999999999999998E-2</v>
      </c>
      <c r="G185" s="35">
        <f>Założenia!G17</f>
        <v>4.4999999999999998E-2</v>
      </c>
      <c r="H185" s="35">
        <f>Założenia!H17</f>
        <v>4.4999999999999998E-2</v>
      </c>
      <c r="I185" s="35">
        <f>Założenia!I17</f>
        <v>4.4999999999999998E-2</v>
      </c>
      <c r="J185" s="35">
        <f>Założenia!J17</f>
        <v>4.4999999999999998E-2</v>
      </c>
      <c r="K185" s="35">
        <f>Założenia!K17</f>
        <v>4.4999999999999998E-2</v>
      </c>
      <c r="L185" s="35">
        <f>Założenia!L17</f>
        <v>4.4999999999999998E-2</v>
      </c>
      <c r="M185" s="35">
        <f>Założenia!M17</f>
        <v>4.4999999999999998E-2</v>
      </c>
      <c r="N185" s="35">
        <f>Założenia!N17</f>
        <v>4.4999999999999998E-2</v>
      </c>
      <c r="O185" s="35">
        <f>Założenia!O17</f>
        <v>4.4999999999999998E-2</v>
      </c>
      <c r="P185" s="35">
        <f>Założenia!P17</f>
        <v>4.4999999999999998E-2</v>
      </c>
      <c r="Q185" s="35">
        <f>Założenia!Q17</f>
        <v>4.4999999999999998E-2</v>
      </c>
      <c r="R185" s="35">
        <f>Założenia!R17</f>
        <v>4.4999999999999998E-2</v>
      </c>
      <c r="S185" s="35">
        <f>Założenia!S17</f>
        <v>4.4999999999999998E-2</v>
      </c>
      <c r="T185" s="35">
        <f>Założenia!T17</f>
        <v>4.4999999999999998E-2</v>
      </c>
    </row>
    <row r="186" spans="1:30" s="13" customFormat="1" ht="12">
      <c r="A186" s="108" t="s">
        <v>37</v>
      </c>
      <c r="B186" s="118" t="s">
        <v>106</v>
      </c>
      <c r="C186" s="301" t="s">
        <v>0</v>
      </c>
      <c r="D186" s="301"/>
      <c r="E186" s="116">
        <f>E179*E184</f>
        <v>0</v>
      </c>
      <c r="F186" s="116">
        <f>F179*F184</f>
        <v>633.80140384888784</v>
      </c>
      <c r="G186" s="116">
        <f>G179*G184</f>
        <v>622.15091020148543</v>
      </c>
      <c r="H186" s="116">
        <f t="shared" ref="H186:T186" si="57">H179*H184</f>
        <v>609.31288828907168</v>
      </c>
      <c r="I186" s="116">
        <f t="shared" si="57"/>
        <v>596.33702367145384</v>
      </c>
      <c r="J186" s="116">
        <f t="shared" si="57"/>
        <v>583.52596230031111</v>
      </c>
      <c r="K186" s="116">
        <f t="shared" si="57"/>
        <v>-11942254.240731943</v>
      </c>
      <c r="L186" s="116">
        <f t="shared" si="57"/>
        <v>358620.18531326635</v>
      </c>
      <c r="M186" s="116">
        <f t="shared" si="57"/>
        <v>347706.47384310298</v>
      </c>
      <c r="N186" s="116">
        <f t="shared" si="57"/>
        <v>337068.00270291039</v>
      </c>
      <c r="O186" s="116">
        <f t="shared" si="57"/>
        <v>326701.33920102019</v>
      </c>
      <c r="P186" s="116">
        <f t="shared" si="57"/>
        <v>316602.4498340378</v>
      </c>
      <c r="Q186" s="116">
        <f t="shared" si="57"/>
        <v>6308955.995693339</v>
      </c>
      <c r="R186" s="116">
        <f t="shared" si="57"/>
        <v>129233.52326404488</v>
      </c>
      <c r="S186" s="116">
        <f t="shared" si="57"/>
        <v>-13858096.05891313</v>
      </c>
      <c r="T186" s="116">
        <f t="shared" si="57"/>
        <v>3068815.4085233328</v>
      </c>
    </row>
    <row r="187" spans="1:30" s="32" customFormat="1" ht="12">
      <c r="A187" s="108" t="s">
        <v>38</v>
      </c>
      <c r="B187" s="117" t="s">
        <v>68</v>
      </c>
      <c r="C187" s="105" t="s">
        <v>0</v>
      </c>
      <c r="D187" s="105"/>
      <c r="E187" s="596">
        <f>SUM(E186:T186)</f>
        <v>-14603601.793081708</v>
      </c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</row>
    <row r="188" spans="1:30" s="32" customFormat="1" ht="12">
      <c r="A188" s="108" t="s">
        <v>39</v>
      </c>
      <c r="B188" s="117" t="s">
        <v>91</v>
      </c>
      <c r="C188" s="105" t="s">
        <v>1</v>
      </c>
      <c r="D188" s="105"/>
      <c r="E188" s="332">
        <f>IRR(E179:T179)</f>
        <v>6.2521665532663544</v>
      </c>
      <c r="F188" s="599" t="s">
        <v>403</v>
      </c>
      <c r="G188" s="120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</row>
    <row r="189" spans="1:30" s="123" customFormat="1" ht="12">
      <c r="A189" s="46" t="s">
        <v>40</v>
      </c>
      <c r="B189" s="117" t="s">
        <v>66</v>
      </c>
      <c r="C189" s="105" t="s">
        <v>90</v>
      </c>
      <c r="D189" s="105"/>
      <c r="E189" s="597">
        <f>(D174-D172+D178)/(D171-D177+D173-D176)</f>
        <v>0.27218772713812484</v>
      </c>
      <c r="F189" s="119"/>
      <c r="G189" s="120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</row>
    <row r="190" spans="1:30" s="123" customFormat="1" ht="12">
      <c r="A190" s="46"/>
      <c r="B190" s="122"/>
      <c r="C190" s="37"/>
      <c r="D190" s="37"/>
      <c r="E190" s="121"/>
      <c r="F190" s="119"/>
      <c r="G190" s="120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</row>
    <row r="191" spans="1:30" s="1" customFormat="1" ht="12">
      <c r="A191" s="358" t="s">
        <v>333</v>
      </c>
      <c r="B191" s="86" t="s">
        <v>320</v>
      </c>
      <c r="E191" s="359">
        <v>0</v>
      </c>
      <c r="F191" s="359">
        <f>E191+1</f>
        <v>1</v>
      </c>
      <c r="G191" s="359">
        <f t="shared" ref="G191:T191" si="58">F191+1</f>
        <v>2</v>
      </c>
      <c r="H191" s="359">
        <f t="shared" si="58"/>
        <v>3</v>
      </c>
      <c r="I191" s="359">
        <f t="shared" si="58"/>
        <v>4</v>
      </c>
      <c r="J191" s="359">
        <f t="shared" si="58"/>
        <v>5</v>
      </c>
      <c r="K191" s="359">
        <f t="shared" si="58"/>
        <v>6</v>
      </c>
      <c r="L191" s="359">
        <f t="shared" si="58"/>
        <v>7</v>
      </c>
      <c r="M191" s="359">
        <f t="shared" si="58"/>
        <v>8</v>
      </c>
      <c r="N191" s="359">
        <f t="shared" si="58"/>
        <v>9</v>
      </c>
      <c r="O191" s="359">
        <f t="shared" si="58"/>
        <v>10</v>
      </c>
      <c r="P191" s="359">
        <f t="shared" si="58"/>
        <v>11</v>
      </c>
      <c r="Q191" s="359">
        <f t="shared" si="58"/>
        <v>12</v>
      </c>
      <c r="R191" s="359">
        <f t="shared" si="58"/>
        <v>13</v>
      </c>
      <c r="S191" s="359">
        <f t="shared" si="58"/>
        <v>14</v>
      </c>
      <c r="T191" s="359">
        <f t="shared" si="58"/>
        <v>15</v>
      </c>
      <c r="U191" s="234"/>
      <c r="V191" s="234"/>
      <c r="W191" s="234"/>
      <c r="X191" s="234"/>
      <c r="Y191" s="234"/>
      <c r="Z191" s="234"/>
      <c r="AA191" s="234"/>
      <c r="AB191" s="234"/>
      <c r="AC191" s="234"/>
      <c r="AD191" s="234"/>
    </row>
    <row r="192" spans="1:30" s="123" customFormat="1" ht="12">
      <c r="A192" s="46"/>
      <c r="B192" s="122"/>
      <c r="C192" s="37"/>
      <c r="D192" s="37"/>
      <c r="E192" s="121"/>
      <c r="F192" s="119"/>
      <c r="G192" s="120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</row>
    <row r="193" spans="1:30" s="32" customFormat="1" ht="12">
      <c r="A193" s="96" t="s">
        <v>321</v>
      </c>
      <c r="B193" s="111" t="s">
        <v>322</v>
      </c>
      <c r="C193" s="105"/>
      <c r="D193" s="360"/>
      <c r="E193" s="361"/>
      <c r="F193" s="361"/>
      <c r="G193" s="362"/>
      <c r="H193" s="361"/>
      <c r="I193" s="361"/>
      <c r="J193" s="361"/>
      <c r="K193" s="361"/>
      <c r="L193" s="361"/>
      <c r="M193" s="361"/>
      <c r="N193" s="361"/>
      <c r="O193" s="361"/>
      <c r="P193" s="361"/>
      <c r="Q193" s="361"/>
      <c r="R193" s="361"/>
      <c r="S193" s="361"/>
      <c r="T193" s="36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</row>
    <row r="194" spans="1:30" s="26" customFormat="1">
      <c r="A194" s="96" t="s">
        <v>34</v>
      </c>
      <c r="B194" s="111" t="s">
        <v>323</v>
      </c>
      <c r="C194" s="105" t="s">
        <v>0</v>
      </c>
      <c r="D194" s="363">
        <f>SUM(E194:AD194)</f>
        <v>40719096.646591596</v>
      </c>
      <c r="E194" s="364">
        <f>(Opcje!E40+Opcje!E41)*E143</f>
        <v>0</v>
      </c>
      <c r="F194" s="364">
        <f>(Opcje!F40+Opcje!F41)*F143</f>
        <v>0</v>
      </c>
      <c r="G194" s="364">
        <f>(Opcje!G40+Opcje!G41)*G143</f>
        <v>0</v>
      </c>
      <c r="H194" s="364">
        <f>(Opcje!H40+Opcje!H41)*H143</f>
        <v>0</v>
      </c>
      <c r="I194" s="364">
        <f>(Opcje!I40+Opcje!I41)*I143</f>
        <v>0</v>
      </c>
      <c r="J194" s="364">
        <f>(Opcje!J40+Opcje!J41)*J143</f>
        <v>0</v>
      </c>
      <c r="K194" s="364">
        <f>(Opcje!K40+Opcje!K41)*K143</f>
        <v>23527663.430986438</v>
      </c>
      <c r="L194" s="364">
        <f>(Opcje!L40+Opcje!L41)*L143</f>
        <v>0</v>
      </c>
      <c r="M194" s="364">
        <f>(Opcje!M40+Opcje!M41)*M143</f>
        <v>0</v>
      </c>
      <c r="N194" s="364">
        <f>(Opcje!N40+Opcje!N41)*N143</f>
        <v>0</v>
      </c>
      <c r="O194" s="364">
        <f>(Opcje!O40+Opcje!O41)*O143</f>
        <v>0</v>
      </c>
      <c r="P194" s="364">
        <f>(Opcje!P40+Opcje!P41)*P143</f>
        <v>0</v>
      </c>
      <c r="Q194" s="364">
        <f>(Opcje!Q40+Opcje!Q41)*Q143</f>
        <v>0</v>
      </c>
      <c r="R194" s="364">
        <f>(Opcje!R40+Opcje!R41)*R143</f>
        <v>0</v>
      </c>
      <c r="S194" s="364">
        <f>(Opcje!S40+Opcje!S41)*S143</f>
        <v>17191433.215605158</v>
      </c>
      <c r="T194" s="364">
        <f>(Opcje!T40+Opcje!T41)*T143</f>
        <v>0</v>
      </c>
      <c r="U194" s="369"/>
      <c r="V194" s="369"/>
      <c r="W194" s="369"/>
      <c r="X194" s="369"/>
      <c r="Y194" s="369"/>
      <c r="Z194" s="369"/>
      <c r="AA194" s="369"/>
      <c r="AB194" s="369"/>
      <c r="AC194" s="369"/>
      <c r="AD194" s="369"/>
    </row>
    <row r="195" spans="1:30" s="28" customFormat="1" ht="12">
      <c r="A195" s="96" t="s">
        <v>43</v>
      </c>
      <c r="B195" s="111" t="s">
        <v>334</v>
      </c>
      <c r="C195" s="105" t="s">
        <v>0</v>
      </c>
      <c r="D195" s="363">
        <f>SUM(E195:AD195)</f>
        <v>0</v>
      </c>
      <c r="E195" s="365">
        <f>E134*E143</f>
        <v>0</v>
      </c>
      <c r="F195" s="365">
        <f t="shared" ref="F195:T195" si="59">F134*F143</f>
        <v>0</v>
      </c>
      <c r="G195" s="365">
        <f t="shared" si="59"/>
        <v>0</v>
      </c>
      <c r="H195" s="365">
        <f t="shared" si="59"/>
        <v>0</v>
      </c>
      <c r="I195" s="365">
        <f t="shared" si="59"/>
        <v>0</v>
      </c>
      <c r="J195" s="365">
        <f t="shared" si="59"/>
        <v>0</v>
      </c>
      <c r="K195" s="365">
        <f t="shared" si="59"/>
        <v>0</v>
      </c>
      <c r="L195" s="365">
        <f t="shared" si="59"/>
        <v>0</v>
      </c>
      <c r="M195" s="365">
        <f t="shared" si="59"/>
        <v>0</v>
      </c>
      <c r="N195" s="365">
        <f t="shared" si="59"/>
        <v>0</v>
      </c>
      <c r="O195" s="365">
        <f t="shared" si="59"/>
        <v>0</v>
      </c>
      <c r="P195" s="365">
        <f t="shared" si="59"/>
        <v>0</v>
      </c>
      <c r="Q195" s="365">
        <f t="shared" si="59"/>
        <v>0</v>
      </c>
      <c r="R195" s="365">
        <f t="shared" si="59"/>
        <v>0</v>
      </c>
      <c r="S195" s="365">
        <f t="shared" si="59"/>
        <v>0</v>
      </c>
      <c r="T195" s="365">
        <f t="shared" si="59"/>
        <v>0</v>
      </c>
      <c r="U195" s="370"/>
      <c r="V195" s="370"/>
      <c r="W195" s="370"/>
      <c r="X195" s="370"/>
      <c r="Y195" s="370"/>
      <c r="Z195" s="370"/>
      <c r="AA195" s="370"/>
      <c r="AB195" s="370"/>
      <c r="AC195" s="370"/>
      <c r="AD195" s="370"/>
    </row>
    <row r="196" spans="1:30" s="28" customFormat="1" ht="12">
      <c r="A196" s="96" t="s">
        <v>44</v>
      </c>
      <c r="B196" s="111" t="s">
        <v>386</v>
      </c>
      <c r="C196" s="105" t="s">
        <v>0</v>
      </c>
      <c r="D196" s="363">
        <f>SUM(E196:AD196)</f>
        <v>-3628161.8135456867</v>
      </c>
      <c r="E196" s="365">
        <f>(E137+Opcje!E42)*E143</f>
        <v>0</v>
      </c>
      <c r="F196" s="365">
        <f>(F137+Opcje!F42)*F143</f>
        <v>-518.56192190988133</v>
      </c>
      <c r="G196" s="365">
        <f>(G137+Opcje!G42)*G143</f>
        <v>-508.42385790407235</v>
      </c>
      <c r="H196" s="365">
        <f>(H137+Opcje!H42)*H143</f>
        <v>-498.29854154085541</v>
      </c>
      <c r="I196" s="365">
        <f>(I137+Opcje!I42)*I143</f>
        <v>-488.19998937162637</v>
      </c>
      <c r="J196" s="365">
        <f>(J137+Opcje!J42)*J143</f>
        <v>-478.14112088462986</v>
      </c>
      <c r="K196" s="365">
        <f>(K137+Opcje!K42)*K143</f>
        <v>-170927.88821178992</v>
      </c>
      <c r="L196" s="365">
        <f>(L137+Opcje!L42)*L143</f>
        <v>-476936.1405225193</v>
      </c>
      <c r="M196" s="365">
        <f>(M137+Opcje!M42)*M143</f>
        <v>-464663.2302064976</v>
      </c>
      <c r="N196" s="365">
        <f>(N137+Opcje!N42)*N143</f>
        <v>-452628.86307969538</v>
      </c>
      <c r="O196" s="365">
        <f>(O137+Opcje!O42)*O143</f>
        <v>-440832.84485879145</v>
      </c>
      <c r="P196" s="365">
        <f>(P137+Opcje!P42)*P143</f>
        <v>-429274.64333079784</v>
      </c>
      <c r="Q196" s="365">
        <f>(Q137+Opcje!Q42)*Q143</f>
        <v>-417953.41463504563</v>
      </c>
      <c r="R196" s="365">
        <f>(R137+Opcje!R42)*R143</f>
        <v>-177682.54427414949</v>
      </c>
      <c r="S196" s="365">
        <f>(S137+Opcje!S42)*S143</f>
        <v>-175646.43172558839</v>
      </c>
      <c r="T196" s="365">
        <f>(T137+Opcje!T42)*T143</f>
        <v>-419124.18726920121</v>
      </c>
      <c r="U196" s="370"/>
      <c r="V196" s="370"/>
      <c r="W196" s="370"/>
      <c r="X196" s="370"/>
      <c r="Y196" s="370"/>
      <c r="Z196" s="370"/>
      <c r="AA196" s="370"/>
      <c r="AB196" s="370"/>
      <c r="AC196" s="370"/>
      <c r="AD196" s="370"/>
    </row>
    <row r="197" spans="1:30" s="26" customFormat="1">
      <c r="A197" s="96" t="s">
        <v>35</v>
      </c>
      <c r="B197" s="111" t="s">
        <v>324</v>
      </c>
      <c r="C197" s="105" t="s">
        <v>0</v>
      </c>
      <c r="D197" s="363">
        <f>ROUNDDOWN(SUM(E197:AD197),2)</f>
        <v>3628161.81</v>
      </c>
      <c r="E197" s="364">
        <f>E195-E196</f>
        <v>0</v>
      </c>
      <c r="F197" s="364">
        <f t="shared" ref="F197:T197" si="60">F195-F196</f>
        <v>518.56192190988133</v>
      </c>
      <c r="G197" s="364">
        <f t="shared" si="60"/>
        <v>508.42385790407235</v>
      </c>
      <c r="H197" s="364">
        <f t="shared" si="60"/>
        <v>498.29854154085541</v>
      </c>
      <c r="I197" s="364">
        <f t="shared" si="60"/>
        <v>488.19998937162637</v>
      </c>
      <c r="J197" s="364">
        <f t="shared" si="60"/>
        <v>478.14112088462986</v>
      </c>
      <c r="K197" s="364">
        <f t="shared" si="60"/>
        <v>170927.88821178992</v>
      </c>
      <c r="L197" s="364">
        <f t="shared" si="60"/>
        <v>476936.1405225193</v>
      </c>
      <c r="M197" s="364">
        <f t="shared" si="60"/>
        <v>464663.2302064976</v>
      </c>
      <c r="N197" s="364">
        <f t="shared" si="60"/>
        <v>452628.86307969538</v>
      </c>
      <c r="O197" s="364">
        <f t="shared" si="60"/>
        <v>440832.84485879145</v>
      </c>
      <c r="P197" s="364">
        <f t="shared" si="60"/>
        <v>429274.64333079784</v>
      </c>
      <c r="Q197" s="364">
        <f t="shared" si="60"/>
        <v>417953.41463504563</v>
      </c>
      <c r="R197" s="364">
        <f t="shared" si="60"/>
        <v>177682.54427414949</v>
      </c>
      <c r="S197" s="364">
        <f t="shared" si="60"/>
        <v>175646.43172558839</v>
      </c>
      <c r="T197" s="364">
        <f t="shared" si="60"/>
        <v>419124.18726920121</v>
      </c>
      <c r="U197" s="369"/>
      <c r="V197" s="369"/>
      <c r="W197" s="369"/>
      <c r="X197" s="369"/>
      <c r="Y197" s="369"/>
      <c r="Z197" s="369"/>
      <c r="AA197" s="369"/>
      <c r="AB197" s="369"/>
      <c r="AC197" s="369"/>
      <c r="AD197" s="369"/>
    </row>
    <row r="198" spans="1:30" s="26" customFormat="1">
      <c r="A198" s="366" t="s">
        <v>30</v>
      </c>
      <c r="B198" s="111" t="s">
        <v>325</v>
      </c>
      <c r="C198" s="105" t="s">
        <v>0</v>
      </c>
      <c r="D198" s="363">
        <f>D194-D197</f>
        <v>37090934.836591594</v>
      </c>
      <c r="E198" s="364"/>
      <c r="F198" s="364"/>
      <c r="G198" s="364"/>
      <c r="H198" s="364"/>
      <c r="I198" s="364"/>
      <c r="J198" s="364"/>
      <c r="K198" s="364"/>
      <c r="L198" s="364"/>
      <c r="M198" s="364"/>
      <c r="N198" s="364"/>
      <c r="O198" s="364"/>
      <c r="P198" s="364"/>
      <c r="Q198" s="364"/>
      <c r="R198" s="364"/>
      <c r="S198" s="364"/>
      <c r="T198" s="364"/>
      <c r="U198" s="369"/>
      <c r="V198" s="369"/>
      <c r="W198" s="369"/>
      <c r="X198" s="369"/>
      <c r="Y198" s="369"/>
      <c r="Z198" s="369"/>
      <c r="AA198" s="369"/>
      <c r="AB198" s="369"/>
      <c r="AC198" s="369"/>
      <c r="AD198" s="369"/>
    </row>
    <row r="199" spans="1:30" s="26" customFormat="1">
      <c r="A199" s="96" t="s">
        <v>31</v>
      </c>
      <c r="B199" s="111" t="s">
        <v>326</v>
      </c>
      <c r="C199" s="105" t="s">
        <v>1</v>
      </c>
      <c r="D199" s="367">
        <f>IF(D198/D194&lt;=100%,D198/D194,100%)</f>
        <v>0.91089778239705377</v>
      </c>
      <c r="E199" s="364"/>
      <c r="F199" s="364"/>
      <c r="G199" s="364"/>
      <c r="H199" s="364"/>
      <c r="I199" s="364"/>
      <c r="J199" s="364"/>
      <c r="K199" s="364"/>
      <c r="L199" s="364"/>
      <c r="M199" s="364"/>
      <c r="N199" s="364"/>
      <c r="O199" s="364"/>
      <c r="P199" s="364"/>
      <c r="Q199" s="364"/>
      <c r="R199" s="364"/>
      <c r="S199" s="364"/>
      <c r="T199" s="364"/>
      <c r="U199" s="369"/>
      <c r="V199" s="369"/>
      <c r="W199" s="369"/>
      <c r="X199" s="369"/>
      <c r="Y199" s="369"/>
      <c r="Z199" s="369"/>
      <c r="AA199" s="369"/>
      <c r="AB199" s="369"/>
      <c r="AC199" s="369"/>
      <c r="AD199" s="369"/>
    </row>
    <row r="200" spans="1:30" s="32" customFormat="1" ht="12">
      <c r="A200" s="96" t="s">
        <v>327</v>
      </c>
      <c r="B200" s="111" t="s">
        <v>328</v>
      </c>
      <c r="C200" s="105"/>
      <c r="D200" s="360"/>
      <c r="E200" s="361"/>
      <c r="F200" s="361"/>
      <c r="G200" s="361"/>
      <c r="H200" s="361"/>
      <c r="I200" s="361"/>
      <c r="J200" s="361"/>
      <c r="K200" s="361"/>
      <c r="L200" s="361"/>
      <c r="M200" s="361"/>
      <c r="N200" s="361"/>
      <c r="O200" s="361"/>
      <c r="P200" s="361"/>
      <c r="Q200" s="361"/>
      <c r="R200" s="361"/>
      <c r="S200" s="361"/>
      <c r="T200" s="36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</row>
    <row r="201" spans="1:30" s="32" customFormat="1" ht="12">
      <c r="A201" s="96" t="s">
        <v>34</v>
      </c>
      <c r="B201" s="111" t="s">
        <v>329</v>
      </c>
      <c r="C201" s="105" t="s">
        <v>0</v>
      </c>
      <c r="D201" s="363">
        <f>SUM(Opcje!E40:T41)</f>
        <v>59540000</v>
      </c>
      <c r="E201" s="362"/>
      <c r="F201" s="361"/>
      <c r="G201" s="361"/>
      <c r="H201" s="361"/>
      <c r="I201" s="361"/>
      <c r="J201" s="361"/>
      <c r="K201" s="361"/>
      <c r="L201" s="361"/>
      <c r="M201" s="361"/>
      <c r="N201" s="361"/>
      <c r="O201" s="361"/>
      <c r="P201" s="361"/>
      <c r="Q201" s="361"/>
      <c r="R201" s="361"/>
      <c r="S201" s="361"/>
      <c r="T201" s="36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</row>
    <row r="202" spans="1:30" s="26" customFormat="1">
      <c r="A202" s="96" t="s">
        <v>35</v>
      </c>
      <c r="B202" s="111" t="s">
        <v>387</v>
      </c>
      <c r="C202" s="105" t="s">
        <v>0</v>
      </c>
      <c r="D202" s="363">
        <f>ROUND(D201*D199,2)</f>
        <v>54234853.960000001</v>
      </c>
      <c r="E202" s="364"/>
      <c r="F202" s="364"/>
      <c r="G202" s="364"/>
      <c r="H202" s="364"/>
      <c r="I202" s="364"/>
      <c r="J202" s="364"/>
      <c r="K202" s="364"/>
      <c r="L202" s="364"/>
      <c r="M202" s="364"/>
      <c r="N202" s="364"/>
      <c r="O202" s="364"/>
      <c r="P202" s="364"/>
      <c r="Q202" s="364"/>
      <c r="R202" s="364"/>
      <c r="S202" s="364"/>
      <c r="T202" s="364"/>
      <c r="U202" s="369"/>
      <c r="V202" s="369"/>
      <c r="W202" s="369"/>
      <c r="X202" s="369"/>
      <c r="Y202" s="369"/>
      <c r="Z202" s="369"/>
      <c r="AA202" s="369"/>
      <c r="AB202" s="369"/>
      <c r="AC202" s="369"/>
      <c r="AD202" s="369"/>
    </row>
    <row r="203" spans="1:30" s="1" customFormat="1" ht="12">
      <c r="A203" s="96" t="s">
        <v>330</v>
      </c>
      <c r="B203" s="111" t="s">
        <v>331</v>
      </c>
      <c r="C203" s="105"/>
      <c r="D203" s="360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</row>
    <row r="204" spans="1:30" s="26" customFormat="1">
      <c r="A204" s="96"/>
      <c r="B204" s="111" t="s">
        <v>332</v>
      </c>
      <c r="C204" s="105" t="s">
        <v>0</v>
      </c>
      <c r="D204" s="363">
        <f>D202*D205</f>
        <v>46099625.865999997</v>
      </c>
      <c r="E204" s="364"/>
      <c r="F204" s="364"/>
      <c r="G204" s="364"/>
      <c r="H204" s="364"/>
      <c r="I204" s="364"/>
      <c r="J204" s="364"/>
      <c r="K204" s="364"/>
      <c r="L204" s="364"/>
      <c r="M204" s="364"/>
      <c r="N204" s="364"/>
      <c r="O204" s="364"/>
      <c r="P204" s="364"/>
      <c r="Q204" s="364"/>
      <c r="R204" s="364"/>
      <c r="S204" s="364"/>
      <c r="T204" s="364"/>
      <c r="U204" s="369"/>
      <c r="V204" s="369"/>
      <c r="W204" s="369"/>
      <c r="X204" s="369"/>
      <c r="Y204" s="369"/>
      <c r="Z204" s="369"/>
      <c r="AA204" s="369"/>
      <c r="AB204" s="369"/>
      <c r="AC204" s="369"/>
      <c r="AD204" s="369"/>
    </row>
    <row r="205" spans="1:30" s="1" customFormat="1" ht="24" customHeight="1">
      <c r="A205" s="96"/>
      <c r="B205" s="124" t="s">
        <v>391</v>
      </c>
      <c r="C205" s="105" t="s">
        <v>1</v>
      </c>
      <c r="D205" s="367">
        <v>0.85</v>
      </c>
      <c r="E205" s="368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</row>
    <row r="206" spans="1:30" s="1" customFormat="1" ht="12">
      <c r="A206" s="3"/>
      <c r="B206" s="310"/>
      <c r="C206" s="17"/>
      <c r="D206" s="17"/>
      <c r="E206" s="17"/>
      <c r="F206" s="306"/>
      <c r="G206" s="17"/>
      <c r="H206" s="307"/>
      <c r="I206" s="308"/>
    </row>
    <row r="207" spans="1:30" s="1" customFormat="1" ht="12">
      <c r="A207" s="3"/>
      <c r="B207" s="310"/>
      <c r="C207" s="17"/>
      <c r="D207" s="17"/>
      <c r="E207" s="17"/>
      <c r="F207" s="306"/>
      <c r="G207" s="17"/>
      <c r="H207" s="307"/>
      <c r="I207" s="4"/>
    </row>
    <row r="208" spans="1:30" s="1" customFormat="1" ht="14.25" thickBot="1">
      <c r="A208" s="3"/>
      <c r="B208" s="95" t="s">
        <v>286</v>
      </c>
      <c r="C208" s="270" t="s">
        <v>240</v>
      </c>
      <c r="D208" s="270" t="s">
        <v>0</v>
      </c>
      <c r="E208" s="270" t="s">
        <v>241</v>
      </c>
      <c r="F208" s="270">
        <f t="shared" ref="F208:U208" si="61">E5</f>
        <v>2021</v>
      </c>
      <c r="G208" s="270">
        <f t="shared" si="61"/>
        <v>2022</v>
      </c>
      <c r="H208" s="270">
        <f t="shared" si="61"/>
        <v>2023</v>
      </c>
      <c r="I208" s="270">
        <f t="shared" si="61"/>
        <v>2024</v>
      </c>
      <c r="J208" s="270">
        <f t="shared" si="61"/>
        <v>2025</v>
      </c>
      <c r="K208" s="270">
        <f t="shared" si="61"/>
        <v>2026</v>
      </c>
      <c r="L208" s="270">
        <f t="shared" si="61"/>
        <v>2027</v>
      </c>
      <c r="M208" s="270">
        <f t="shared" si="61"/>
        <v>2028</v>
      </c>
      <c r="N208" s="270">
        <f t="shared" si="61"/>
        <v>2029</v>
      </c>
      <c r="O208" s="270">
        <f t="shared" si="61"/>
        <v>2030</v>
      </c>
      <c r="P208" s="270">
        <f t="shared" si="61"/>
        <v>2031</v>
      </c>
      <c r="Q208" s="270">
        <f t="shared" si="61"/>
        <v>2032</v>
      </c>
      <c r="R208" s="270">
        <f t="shared" si="61"/>
        <v>2033</v>
      </c>
      <c r="S208" s="270">
        <f t="shared" si="61"/>
        <v>2034</v>
      </c>
      <c r="T208" s="270">
        <f t="shared" si="61"/>
        <v>2035</v>
      </c>
      <c r="U208" s="270">
        <f t="shared" si="61"/>
        <v>2036</v>
      </c>
    </row>
    <row r="209" spans="1:22" s="1" customFormat="1">
      <c r="A209" s="3"/>
      <c r="B209" s="311" t="s">
        <v>237</v>
      </c>
      <c r="C209" s="312">
        <f>AVERAGE(F210:U210)</f>
        <v>1195.240470279633</v>
      </c>
      <c r="D209" s="313">
        <f>SUMPRODUCT(F209:U209,F210:U210)/COLUMNS(F209:U209)</f>
        <v>273740.16366334131</v>
      </c>
      <c r="E209" s="314" t="s">
        <v>236</v>
      </c>
      <c r="F209" s="315">
        <f>Założenia!E115</f>
        <v>188.60725391508436</v>
      </c>
      <c r="G209" s="315">
        <f>Założenia!F115</f>
        <v>193.99603259837247</v>
      </c>
      <c r="H209" s="315">
        <f>Założenia!G115</f>
        <v>199.38481128166063</v>
      </c>
      <c r="I209" s="315">
        <f>Założenia!H115</f>
        <v>204.77358996494871</v>
      </c>
      <c r="J209" s="315">
        <f>Założenia!I115</f>
        <v>210.16236864823688</v>
      </c>
      <c r="K209" s="315">
        <f>Założenia!J115</f>
        <v>215.55114733152499</v>
      </c>
      <c r="L209" s="315">
        <f>Założenia!K115</f>
        <v>220.93992601481312</v>
      </c>
      <c r="M209" s="315">
        <f>Założenia!L115</f>
        <v>226.32870469810123</v>
      </c>
      <c r="N209" s="315">
        <f>Założenia!M115</f>
        <v>231.71748338138934</v>
      </c>
      <c r="O209" s="315">
        <f>Założenia!N115</f>
        <v>237.10626206467751</v>
      </c>
      <c r="P209" s="315">
        <f>Założenia!O115</f>
        <v>242.49504074796559</v>
      </c>
      <c r="Q209" s="315">
        <f>Założenia!P115</f>
        <v>247.88381943125376</v>
      </c>
      <c r="R209" s="315">
        <f>Założenia!Q115</f>
        <v>253.27259811454186</v>
      </c>
      <c r="S209" s="315">
        <f>Założenia!R115</f>
        <v>258.66137679782997</v>
      </c>
      <c r="T209" s="315">
        <f>Założenia!S115</f>
        <v>264.05015548111811</v>
      </c>
      <c r="U209" s="316">
        <f>Założenia!T115</f>
        <v>269.43893416440625</v>
      </c>
      <c r="V209" s="50"/>
    </row>
    <row r="210" spans="1:22" s="1" customFormat="1" ht="13.5" thickBot="1">
      <c r="A210" s="3"/>
      <c r="B210" s="317" t="s">
        <v>238</v>
      </c>
      <c r="C210" s="318">
        <f>SUM(F210:U210)</f>
        <v>19123.847524474128</v>
      </c>
      <c r="D210" s="319">
        <f>SUMPRODUCT(F209:U209,F210:U210)</f>
        <v>4379842.618613461</v>
      </c>
      <c r="E210" s="320" t="s">
        <v>232</v>
      </c>
      <c r="F210" s="321">
        <f t="shared" ref="F210:U210" si="62">E50</f>
        <v>1194.3152</v>
      </c>
      <c r="G210" s="321">
        <f t="shared" si="62"/>
        <v>1195.3021549649416</v>
      </c>
      <c r="H210" s="321">
        <f t="shared" si="62"/>
        <v>1195.3021549649416</v>
      </c>
      <c r="I210" s="321">
        <f t="shared" si="62"/>
        <v>1195.3021549649416</v>
      </c>
      <c r="J210" s="321">
        <f t="shared" si="62"/>
        <v>1195.3021549649416</v>
      </c>
      <c r="K210" s="321">
        <f t="shared" si="62"/>
        <v>1195.3021549649416</v>
      </c>
      <c r="L210" s="321">
        <f t="shared" si="62"/>
        <v>1195.3021549649416</v>
      </c>
      <c r="M210" s="321">
        <f t="shared" si="62"/>
        <v>1195.3021549649416</v>
      </c>
      <c r="N210" s="321">
        <f t="shared" si="62"/>
        <v>1195.3021549649416</v>
      </c>
      <c r="O210" s="321">
        <f t="shared" si="62"/>
        <v>1195.3021549649416</v>
      </c>
      <c r="P210" s="321">
        <f t="shared" si="62"/>
        <v>1195.3021549649416</v>
      </c>
      <c r="Q210" s="321">
        <f t="shared" si="62"/>
        <v>1195.3021549649416</v>
      </c>
      <c r="R210" s="321">
        <f t="shared" si="62"/>
        <v>1195.3021549649416</v>
      </c>
      <c r="S210" s="321">
        <f t="shared" si="62"/>
        <v>1195.3021549649416</v>
      </c>
      <c r="T210" s="321">
        <f t="shared" si="62"/>
        <v>1195.3021549649416</v>
      </c>
      <c r="U210" s="322">
        <f t="shared" si="62"/>
        <v>1195.3021549649416</v>
      </c>
      <c r="V210" s="50"/>
    </row>
    <row r="211" spans="1:22" s="1" customFormat="1" thickBot="1">
      <c r="A211" s="3"/>
      <c r="B211" s="95" t="s">
        <v>62</v>
      </c>
      <c r="C211" s="270" t="s">
        <v>240</v>
      </c>
      <c r="D211" s="270" t="s">
        <v>0</v>
      </c>
      <c r="E211" s="270" t="s">
        <v>241</v>
      </c>
      <c r="F211" s="270">
        <f>F208</f>
        <v>2021</v>
      </c>
      <c r="G211" s="270">
        <f t="shared" ref="G211:U211" si="63">G208</f>
        <v>2022</v>
      </c>
      <c r="H211" s="270">
        <f t="shared" si="63"/>
        <v>2023</v>
      </c>
      <c r="I211" s="270">
        <f t="shared" si="63"/>
        <v>2024</v>
      </c>
      <c r="J211" s="270">
        <f t="shared" si="63"/>
        <v>2025</v>
      </c>
      <c r="K211" s="270">
        <f t="shared" si="63"/>
        <v>2026</v>
      </c>
      <c r="L211" s="270">
        <f t="shared" si="63"/>
        <v>2027</v>
      </c>
      <c r="M211" s="270">
        <f t="shared" si="63"/>
        <v>2028</v>
      </c>
      <c r="N211" s="270">
        <f t="shared" si="63"/>
        <v>2029</v>
      </c>
      <c r="O211" s="270">
        <f t="shared" si="63"/>
        <v>2030</v>
      </c>
      <c r="P211" s="270">
        <f t="shared" si="63"/>
        <v>2031</v>
      </c>
      <c r="Q211" s="270">
        <f t="shared" si="63"/>
        <v>2032</v>
      </c>
      <c r="R211" s="270">
        <f t="shared" si="63"/>
        <v>2033</v>
      </c>
      <c r="S211" s="270">
        <f t="shared" si="63"/>
        <v>2034</v>
      </c>
      <c r="T211" s="270">
        <f t="shared" si="63"/>
        <v>2035</v>
      </c>
      <c r="U211" s="270">
        <f t="shared" si="63"/>
        <v>2036</v>
      </c>
    </row>
    <row r="212" spans="1:22" s="1" customFormat="1">
      <c r="A212" s="3"/>
      <c r="B212" s="311" t="s">
        <v>237</v>
      </c>
      <c r="C212" s="312">
        <f>AVERAGE(F213:U213)</f>
        <v>1.7839410004173621</v>
      </c>
      <c r="D212" s="313">
        <f>SUMPRODUCT(F212:U212,F213:U213)/COLUMNS(F212:U212)</f>
        <v>180667.26477353973</v>
      </c>
      <c r="E212" s="314" t="s">
        <v>236</v>
      </c>
      <c r="F212" s="315">
        <f>Założenia!E96</f>
        <v>79714.997380463887</v>
      </c>
      <c r="G212" s="315">
        <f>Założenia!F96</f>
        <v>82958.418120835689</v>
      </c>
      <c r="H212" s="315">
        <f>Założenia!G96</f>
        <v>86144.483984369945</v>
      </c>
      <c r="I212" s="315">
        <f>Założenia!H96</f>
        <v>88842.937942354823</v>
      </c>
      <c r="J212" s="315">
        <f>Założenia!I96</f>
        <v>91496.326912005505</v>
      </c>
      <c r="K212" s="315">
        <f>Założenia!J96</f>
        <v>94242.591826311735</v>
      </c>
      <c r="L212" s="315">
        <f>Założenia!K96</f>
        <v>97085.43512192824</v>
      </c>
      <c r="M212" s="315">
        <f>Założenia!L96</f>
        <v>99950.815866672914</v>
      </c>
      <c r="N212" s="315">
        <f>Założenia!M96</f>
        <v>102835.55294881284</v>
      </c>
      <c r="O212" s="315">
        <f>Założenia!N96</f>
        <v>105653.5409111366</v>
      </c>
      <c r="P212" s="315">
        <f>Założenia!O96</f>
        <v>108394.09656067959</v>
      </c>
      <c r="Q212" s="315">
        <f>Założenia!P96</f>
        <v>111135.92484754616</v>
      </c>
      <c r="R212" s="315">
        <f>Założenia!Q96</f>
        <v>113874.42991822689</v>
      </c>
      <c r="S212" s="315">
        <f>Założenia!R96</f>
        <v>116604.68149769701</v>
      </c>
      <c r="T212" s="315">
        <f>Założenia!S96</f>
        <v>119321.35959449633</v>
      </c>
      <c r="U212" s="316">
        <f>Założenia!T96</f>
        <v>122114.40710544567</v>
      </c>
      <c r="V212" s="50"/>
    </row>
    <row r="213" spans="1:22" s="1" customFormat="1" ht="13.5" thickBot="1">
      <c r="A213" s="3"/>
      <c r="B213" s="317" t="s">
        <v>238</v>
      </c>
      <c r="C213" s="318">
        <f>SUM(F213:U213)</f>
        <v>28.543056006677794</v>
      </c>
      <c r="D213" s="319">
        <f>SUMPRODUCT(F212:U212,F213:U213)</f>
        <v>2890676.2363766357</v>
      </c>
      <c r="E213" s="320" t="s">
        <v>232</v>
      </c>
      <c r="F213" s="321">
        <f t="shared" ref="F213:U213" si="64">E61</f>
        <v>1.7825600000000001</v>
      </c>
      <c r="G213" s="321">
        <f t="shared" si="64"/>
        <v>1.7840330671118532</v>
      </c>
      <c r="H213" s="321">
        <f t="shared" si="64"/>
        <v>1.7840330671118532</v>
      </c>
      <c r="I213" s="321">
        <f t="shared" si="64"/>
        <v>1.7840330671118532</v>
      </c>
      <c r="J213" s="321">
        <f t="shared" si="64"/>
        <v>1.7840330671118532</v>
      </c>
      <c r="K213" s="321">
        <f t="shared" si="64"/>
        <v>1.7840330671118532</v>
      </c>
      <c r="L213" s="321">
        <f t="shared" si="64"/>
        <v>1.7840330671118532</v>
      </c>
      <c r="M213" s="321">
        <f t="shared" si="64"/>
        <v>1.7840330671118532</v>
      </c>
      <c r="N213" s="321">
        <f t="shared" si="64"/>
        <v>1.7840330671118532</v>
      </c>
      <c r="O213" s="321">
        <f t="shared" si="64"/>
        <v>1.7840330671118532</v>
      </c>
      <c r="P213" s="321">
        <f t="shared" si="64"/>
        <v>1.7840330671118532</v>
      </c>
      <c r="Q213" s="321">
        <f t="shared" si="64"/>
        <v>1.7840330671118532</v>
      </c>
      <c r="R213" s="321">
        <f t="shared" si="64"/>
        <v>1.7840330671118532</v>
      </c>
      <c r="S213" s="321">
        <f t="shared" si="64"/>
        <v>1.7840330671118532</v>
      </c>
      <c r="T213" s="321">
        <f t="shared" si="64"/>
        <v>1.7840330671118532</v>
      </c>
      <c r="U213" s="322">
        <f t="shared" si="64"/>
        <v>1.7840330671118532</v>
      </c>
      <c r="V213" s="50"/>
    </row>
    <row r="214" spans="1:22" s="1" customFormat="1" thickBot="1">
      <c r="A214" s="3"/>
      <c r="B214" s="95" t="s">
        <v>123</v>
      </c>
      <c r="C214" s="270" t="s">
        <v>240</v>
      </c>
      <c r="D214" s="270" t="s">
        <v>0</v>
      </c>
      <c r="E214" s="270" t="s">
        <v>241</v>
      </c>
      <c r="F214" s="270">
        <f>F211</f>
        <v>2021</v>
      </c>
      <c r="G214" s="270">
        <f t="shared" ref="G214:U214" si="65">G211</f>
        <v>2022</v>
      </c>
      <c r="H214" s="270">
        <f t="shared" si="65"/>
        <v>2023</v>
      </c>
      <c r="I214" s="270">
        <f t="shared" si="65"/>
        <v>2024</v>
      </c>
      <c r="J214" s="270">
        <f t="shared" si="65"/>
        <v>2025</v>
      </c>
      <c r="K214" s="270">
        <f t="shared" si="65"/>
        <v>2026</v>
      </c>
      <c r="L214" s="270">
        <f t="shared" si="65"/>
        <v>2027</v>
      </c>
      <c r="M214" s="270">
        <f t="shared" si="65"/>
        <v>2028</v>
      </c>
      <c r="N214" s="270">
        <f t="shared" si="65"/>
        <v>2029</v>
      </c>
      <c r="O214" s="270">
        <f t="shared" si="65"/>
        <v>2030</v>
      </c>
      <c r="P214" s="270">
        <f t="shared" si="65"/>
        <v>2031</v>
      </c>
      <c r="Q214" s="270">
        <f t="shared" si="65"/>
        <v>2032</v>
      </c>
      <c r="R214" s="270">
        <f t="shared" si="65"/>
        <v>2033</v>
      </c>
      <c r="S214" s="270">
        <f t="shared" si="65"/>
        <v>2034</v>
      </c>
      <c r="T214" s="270">
        <f t="shared" si="65"/>
        <v>2035</v>
      </c>
      <c r="U214" s="270">
        <f t="shared" si="65"/>
        <v>2036</v>
      </c>
    </row>
    <row r="215" spans="1:22" s="1" customFormat="1">
      <c r="A215" s="3"/>
      <c r="B215" s="311" t="s">
        <v>237</v>
      </c>
      <c r="C215" s="312">
        <f>AVERAGE(F216:U216)</f>
        <v>0.57978082513564289</v>
      </c>
      <c r="D215" s="313">
        <f>SUMPRODUCT(F215:U215,F216:U216)/COLUMNS(F215:U215)</f>
        <v>7334.1441747990102</v>
      </c>
      <c r="E215" s="314" t="s">
        <v>236</v>
      </c>
      <c r="F215" s="315">
        <f>Założenia!E97</f>
        <v>9956.9573920216171</v>
      </c>
      <c r="G215" s="315">
        <f>Założenia!F97</f>
        <v>10362.083192404516</v>
      </c>
      <c r="H215" s="315">
        <f>Założenia!G97</f>
        <v>10760.044969910135</v>
      </c>
      <c r="I215" s="315">
        <f>Założenia!H97</f>
        <v>11097.10063028669</v>
      </c>
      <c r="J215" s="315">
        <f>Założenia!I97</f>
        <v>11428.527360305585</v>
      </c>
      <c r="K215" s="315">
        <f>Założenia!J97</f>
        <v>11771.554941532759</v>
      </c>
      <c r="L215" s="315">
        <f>Założenia!K97</f>
        <v>12126.645834047609</v>
      </c>
      <c r="M215" s="315">
        <f>Założenia!L97</f>
        <v>12484.551810650375</v>
      </c>
      <c r="N215" s="315">
        <f>Założenia!M97</f>
        <v>12844.87552836891</v>
      </c>
      <c r="O215" s="315">
        <f>Założenia!N97</f>
        <v>13196.86181694858</v>
      </c>
      <c r="P215" s="315">
        <f>Założenia!O97</f>
        <v>13539.176271313112</v>
      </c>
      <c r="Q215" s="315">
        <f>Założenia!P97</f>
        <v>13881.649686927383</v>
      </c>
      <c r="R215" s="315">
        <f>Założenia!Q97</f>
        <v>14223.708009735352</v>
      </c>
      <c r="S215" s="315">
        <f>Założenia!R97</f>
        <v>14564.735414108647</v>
      </c>
      <c r="T215" s="315">
        <f>Założenia!S97</f>
        <v>14904.067396126607</v>
      </c>
      <c r="U215" s="316">
        <f>Założenia!T97</f>
        <v>15252.93844893091</v>
      </c>
      <c r="V215" s="50"/>
    </row>
    <row r="216" spans="1:22" s="1" customFormat="1" ht="13.5" thickBot="1">
      <c r="A216" s="3"/>
      <c r="B216" s="317" t="s">
        <v>238</v>
      </c>
      <c r="C216" s="318">
        <f>SUM(F216:U216)</f>
        <v>9.2764932021702862</v>
      </c>
      <c r="D216" s="319">
        <f>SUMPRODUCT(F215:U215,F216:U216)</f>
        <v>117346.30679678416</v>
      </c>
      <c r="E216" s="320" t="s">
        <v>232</v>
      </c>
      <c r="F216" s="321">
        <f t="shared" ref="F216:U216" si="66">E81</f>
        <v>0.57933199999999996</v>
      </c>
      <c r="G216" s="321">
        <f t="shared" si="66"/>
        <v>0.57981074681135236</v>
      </c>
      <c r="H216" s="321">
        <f t="shared" si="66"/>
        <v>0.57981074681135236</v>
      </c>
      <c r="I216" s="321">
        <f t="shared" si="66"/>
        <v>0.57981074681135236</v>
      </c>
      <c r="J216" s="321">
        <f t="shared" si="66"/>
        <v>0.57981074681135236</v>
      </c>
      <c r="K216" s="321">
        <f t="shared" si="66"/>
        <v>0.57981074681135236</v>
      </c>
      <c r="L216" s="321">
        <f t="shared" si="66"/>
        <v>0.57981074681135236</v>
      </c>
      <c r="M216" s="321">
        <f t="shared" si="66"/>
        <v>0.57981074681135236</v>
      </c>
      <c r="N216" s="321">
        <f t="shared" si="66"/>
        <v>0.57981074681135236</v>
      </c>
      <c r="O216" s="321">
        <f t="shared" si="66"/>
        <v>0.57981074681135236</v>
      </c>
      <c r="P216" s="321">
        <f t="shared" si="66"/>
        <v>0.57981074681135236</v>
      </c>
      <c r="Q216" s="321">
        <f t="shared" si="66"/>
        <v>0.57981074681135236</v>
      </c>
      <c r="R216" s="321">
        <f t="shared" si="66"/>
        <v>0.57981074681135236</v>
      </c>
      <c r="S216" s="321">
        <f t="shared" si="66"/>
        <v>0.57981074681135236</v>
      </c>
      <c r="T216" s="321">
        <f t="shared" si="66"/>
        <v>0.57981074681135236</v>
      </c>
      <c r="U216" s="322">
        <f t="shared" si="66"/>
        <v>0.57981074681135236</v>
      </c>
      <c r="V216" s="50"/>
    </row>
    <row r="217" spans="1:22" s="1" customFormat="1" thickBot="1">
      <c r="A217" s="3"/>
      <c r="B217" s="95" t="s">
        <v>63</v>
      </c>
      <c r="C217" s="270" t="s">
        <v>240</v>
      </c>
      <c r="D217" s="270" t="s">
        <v>0</v>
      </c>
      <c r="E217" s="270" t="s">
        <v>241</v>
      </c>
      <c r="F217" s="270">
        <f>F214</f>
        <v>2021</v>
      </c>
      <c r="G217" s="270">
        <f t="shared" ref="G217:U217" si="67">G214</f>
        <v>2022</v>
      </c>
      <c r="H217" s="270">
        <f t="shared" si="67"/>
        <v>2023</v>
      </c>
      <c r="I217" s="270">
        <f t="shared" si="67"/>
        <v>2024</v>
      </c>
      <c r="J217" s="270">
        <f t="shared" si="67"/>
        <v>2025</v>
      </c>
      <c r="K217" s="270">
        <f t="shared" si="67"/>
        <v>2026</v>
      </c>
      <c r="L217" s="270">
        <f t="shared" si="67"/>
        <v>2027</v>
      </c>
      <c r="M217" s="270">
        <f t="shared" si="67"/>
        <v>2028</v>
      </c>
      <c r="N217" s="270">
        <f t="shared" si="67"/>
        <v>2029</v>
      </c>
      <c r="O217" s="270">
        <f t="shared" si="67"/>
        <v>2030</v>
      </c>
      <c r="P217" s="270">
        <f t="shared" si="67"/>
        <v>2031</v>
      </c>
      <c r="Q217" s="270">
        <f t="shared" si="67"/>
        <v>2032</v>
      </c>
      <c r="R217" s="270">
        <f t="shared" si="67"/>
        <v>2033</v>
      </c>
      <c r="S217" s="270">
        <f t="shared" si="67"/>
        <v>2034</v>
      </c>
      <c r="T217" s="270">
        <f t="shared" si="67"/>
        <v>2035</v>
      </c>
      <c r="U217" s="270">
        <f t="shared" si="67"/>
        <v>2036</v>
      </c>
    </row>
    <row r="218" spans="1:22" s="1" customFormat="1">
      <c r="A218" s="3"/>
      <c r="B218" s="311" t="s">
        <v>237</v>
      </c>
      <c r="C218" s="515">
        <f>AVERAGE(F219:U219)</f>
        <v>4.4598525010434042E-2</v>
      </c>
      <c r="D218" s="313">
        <f>SUMPRODUCT(F218:U218,F219:U219)/COLUMNS(F218:U218)</f>
        <v>74455.986899702708</v>
      </c>
      <c r="E218" s="314" t="s">
        <v>236</v>
      </c>
      <c r="F218" s="315">
        <f>Założenia!E99</f>
        <v>1314075.0889452605</v>
      </c>
      <c r="G218" s="315">
        <f>Założenia!F99</f>
        <v>1367541.795812838</v>
      </c>
      <c r="H218" s="315">
        <f>Założenia!G99</f>
        <v>1420063.0267052737</v>
      </c>
      <c r="I218" s="315">
        <f>Założenia!H99</f>
        <v>1464546.1383075919</v>
      </c>
      <c r="J218" s="315">
        <f>Założenia!I99</f>
        <v>1508286.3686391378</v>
      </c>
      <c r="K218" s="315">
        <f>Założenia!J99</f>
        <v>1553557.6278767206</v>
      </c>
      <c r="L218" s="315">
        <f>Założenia!K99</f>
        <v>1600420.9494511404</v>
      </c>
      <c r="M218" s="315">
        <f>Założenia!L99</f>
        <v>1647655.7933418229</v>
      </c>
      <c r="N218" s="315">
        <f>Założenia!M99</f>
        <v>1695209.7199850639</v>
      </c>
      <c r="O218" s="315">
        <f>Założenia!N99</f>
        <v>1741663.3096974657</v>
      </c>
      <c r="P218" s="315">
        <f>Założenia!O99</f>
        <v>1786840.4536136147</v>
      </c>
      <c r="Q218" s="315">
        <f>Założenia!P99</f>
        <v>1832038.5765306936</v>
      </c>
      <c r="R218" s="315">
        <f>Założenia!Q99</f>
        <v>1877181.9173396558</v>
      </c>
      <c r="S218" s="315">
        <f>Założenia!R99</f>
        <v>1922189.2021045473</v>
      </c>
      <c r="T218" s="315">
        <f>Założenia!S99</f>
        <v>1966972.7325442298</v>
      </c>
      <c r="U218" s="316">
        <f>Założenia!T99</f>
        <v>2013015.1872514868</v>
      </c>
      <c r="V218" s="50"/>
    </row>
    <row r="219" spans="1:22" s="1" customFormat="1" ht="13.5" thickBot="1">
      <c r="A219" s="3"/>
      <c r="B219" s="317" t="s">
        <v>238</v>
      </c>
      <c r="C219" s="318">
        <f>SUM(F219:U219)</f>
        <v>0.71357640016694468</v>
      </c>
      <c r="D219" s="319">
        <f>SUMPRODUCT(F218:U218,F219:U219)</f>
        <v>1191295.7903952433</v>
      </c>
      <c r="E219" s="320" t="s">
        <v>232</v>
      </c>
      <c r="F219" s="321">
        <f t="shared" ref="F219:U219" si="68">E71</f>
        <v>4.4564000000000006E-2</v>
      </c>
      <c r="G219" s="321">
        <f t="shared" si="68"/>
        <v>4.4600826677796329E-2</v>
      </c>
      <c r="H219" s="321">
        <f t="shared" si="68"/>
        <v>4.4600826677796329E-2</v>
      </c>
      <c r="I219" s="321">
        <f t="shared" si="68"/>
        <v>4.4600826677796329E-2</v>
      </c>
      <c r="J219" s="321">
        <f t="shared" si="68"/>
        <v>4.4600826677796329E-2</v>
      </c>
      <c r="K219" s="321">
        <f t="shared" si="68"/>
        <v>4.4600826677796329E-2</v>
      </c>
      <c r="L219" s="321">
        <f t="shared" si="68"/>
        <v>4.4600826677796329E-2</v>
      </c>
      <c r="M219" s="321">
        <f t="shared" si="68"/>
        <v>4.4600826677796329E-2</v>
      </c>
      <c r="N219" s="321">
        <f t="shared" si="68"/>
        <v>4.4600826677796329E-2</v>
      </c>
      <c r="O219" s="321">
        <f t="shared" si="68"/>
        <v>4.4600826677796329E-2</v>
      </c>
      <c r="P219" s="321">
        <f t="shared" si="68"/>
        <v>4.4600826677796329E-2</v>
      </c>
      <c r="Q219" s="321">
        <f t="shared" si="68"/>
        <v>4.4600826677796329E-2</v>
      </c>
      <c r="R219" s="321">
        <f t="shared" si="68"/>
        <v>4.4600826677796329E-2</v>
      </c>
      <c r="S219" s="321">
        <f t="shared" si="68"/>
        <v>4.4600826677796329E-2</v>
      </c>
      <c r="T219" s="321">
        <f t="shared" si="68"/>
        <v>4.4600826677796329E-2</v>
      </c>
      <c r="U219" s="322">
        <f t="shared" si="68"/>
        <v>4.4600826677796329E-2</v>
      </c>
      <c r="V219" s="50"/>
    </row>
    <row r="220" spans="1:22" s="1" customFormat="1">
      <c r="A220" s="64"/>
      <c r="B220" s="77"/>
      <c r="C220" s="50"/>
      <c r="D220" s="50"/>
      <c r="E220" s="50"/>
      <c r="F220" s="65"/>
      <c r="G220" s="50"/>
      <c r="H220" s="54"/>
      <c r="I220" s="55"/>
    </row>
    <row r="221" spans="1:22" s="1" customFormat="1">
      <c r="A221" s="64"/>
      <c r="B221" s="77"/>
      <c r="C221" s="50"/>
      <c r="D221" s="50"/>
      <c r="E221" s="50"/>
      <c r="F221" s="65"/>
      <c r="G221" s="50"/>
      <c r="H221" s="54"/>
      <c r="I221" s="55"/>
    </row>
    <row r="222" spans="1:22" s="1" customFormat="1">
      <c r="A222" s="64"/>
      <c r="B222" s="77"/>
      <c r="C222" s="50"/>
      <c r="D222" s="50"/>
      <c r="E222" s="50"/>
      <c r="F222" s="65"/>
      <c r="G222" s="50"/>
      <c r="H222" s="54"/>
      <c r="I222" s="55"/>
    </row>
    <row r="223" spans="1:22" s="1" customFormat="1">
      <c r="A223" s="64"/>
      <c r="B223" s="77"/>
      <c r="C223" s="50"/>
      <c r="D223" s="50"/>
      <c r="E223" s="50"/>
      <c r="F223" s="65"/>
      <c r="G223" s="50"/>
      <c r="H223" s="54"/>
      <c r="I223" s="55"/>
    </row>
    <row r="224" spans="1:22" s="1" customFormat="1">
      <c r="A224" s="64"/>
      <c r="B224" s="77"/>
      <c r="C224" s="50"/>
      <c r="D224" s="50"/>
      <c r="E224" s="50"/>
      <c r="F224" s="65"/>
      <c r="G224" s="50"/>
      <c r="H224" s="54"/>
      <c r="I224" s="55"/>
    </row>
    <row r="225" spans="1:9" s="1" customFormat="1">
      <c r="A225" s="64"/>
      <c r="B225" s="77"/>
      <c r="C225" s="50"/>
      <c r="D225" s="50"/>
      <c r="E225" s="50"/>
      <c r="F225" s="65"/>
      <c r="G225" s="50"/>
      <c r="H225" s="54"/>
      <c r="I225" s="55"/>
    </row>
    <row r="226" spans="1:9" s="1" customFormat="1">
      <c r="A226" s="64"/>
      <c r="B226" s="77"/>
      <c r="C226" s="50"/>
      <c r="D226" s="50"/>
      <c r="E226" s="50"/>
      <c r="F226" s="65"/>
      <c r="G226" s="50"/>
      <c r="H226" s="54"/>
      <c r="I226" s="55"/>
    </row>
    <row r="227" spans="1:9" s="1" customFormat="1">
      <c r="A227" s="64"/>
      <c r="B227" s="77"/>
      <c r="C227" s="50"/>
      <c r="D227" s="50"/>
      <c r="E227" s="50"/>
      <c r="F227" s="65"/>
      <c r="G227" s="50"/>
      <c r="H227" s="54"/>
      <c r="I227" s="55"/>
    </row>
    <row r="228" spans="1:9" s="1" customFormat="1">
      <c r="A228" s="64"/>
      <c r="B228" s="77"/>
      <c r="C228" s="50"/>
      <c r="D228" s="50"/>
      <c r="E228" s="50"/>
      <c r="F228" s="65"/>
      <c r="G228" s="50"/>
      <c r="H228" s="54"/>
      <c r="I228" s="55"/>
    </row>
    <row r="229" spans="1:9" s="1" customFormat="1">
      <c r="A229" s="64"/>
      <c r="B229" s="77"/>
      <c r="C229" s="50"/>
      <c r="D229" s="50"/>
      <c r="E229" s="50"/>
      <c r="F229" s="65"/>
      <c r="G229" s="50"/>
      <c r="H229" s="54"/>
      <c r="I229" s="55"/>
    </row>
    <row r="230" spans="1:9" s="1" customFormat="1">
      <c r="A230" s="82"/>
      <c r="B230" s="56"/>
      <c r="C230" s="56"/>
      <c r="D230" s="56"/>
      <c r="E230" s="56"/>
      <c r="F230" s="56"/>
      <c r="G230" s="56"/>
      <c r="H230" s="56"/>
      <c r="I230" s="56"/>
    </row>
    <row r="231" spans="1:9" s="1" customFormat="1">
      <c r="A231" s="36"/>
      <c r="B231" s="50"/>
      <c r="C231" s="50"/>
      <c r="D231" s="50"/>
      <c r="E231" s="50"/>
      <c r="F231" s="36"/>
      <c r="G231" s="36"/>
      <c r="H231" s="36"/>
      <c r="I231" s="36"/>
    </row>
    <row r="232" spans="1:9" s="1" customFormat="1">
      <c r="A232" s="36"/>
      <c r="B232" s="36"/>
      <c r="C232" s="78"/>
      <c r="D232" s="78"/>
      <c r="E232" s="79"/>
      <c r="F232" s="80"/>
      <c r="G232" s="78"/>
      <c r="H232" s="36"/>
      <c r="I232" s="81"/>
    </row>
    <row r="233" spans="1:9" s="1" customFormat="1" ht="12">
      <c r="A233" s="4"/>
      <c r="B233" s="4"/>
      <c r="C233" s="4"/>
      <c r="D233" s="4"/>
      <c r="E233" s="4"/>
      <c r="F233" s="4"/>
      <c r="G233" s="4"/>
      <c r="H233" s="4"/>
      <c r="I233" s="4"/>
    </row>
    <row r="234" spans="1:9" s="1" customFormat="1" ht="12">
      <c r="A234" s="4"/>
      <c r="B234" s="4"/>
      <c r="C234" s="4"/>
      <c r="D234" s="4"/>
      <c r="E234" s="4"/>
      <c r="F234" s="4"/>
      <c r="G234" s="4"/>
      <c r="H234" s="4"/>
      <c r="I234" s="4"/>
    </row>
    <row r="235" spans="1:9" s="1" customFormat="1" ht="30.75" customHeight="1">
      <c r="A235" s="618"/>
      <c r="B235" s="668"/>
      <c r="C235" s="668"/>
      <c r="D235" s="181"/>
      <c r="E235" s="57"/>
      <c r="F235" s="57"/>
      <c r="G235" s="57"/>
      <c r="H235" s="57"/>
      <c r="I235" s="57"/>
    </row>
    <row r="236" spans="1:9" s="1" customFormat="1">
      <c r="A236" s="68"/>
      <c r="B236" s="68"/>
      <c r="C236" s="68"/>
      <c r="D236" s="68"/>
      <c r="E236" s="68"/>
      <c r="F236" s="68"/>
      <c r="G236" s="69"/>
      <c r="H236" s="69"/>
      <c r="I236" s="615"/>
    </row>
    <row r="237" spans="1:9" s="1" customFormat="1">
      <c r="A237" s="68"/>
      <c r="B237" s="68"/>
      <c r="C237" s="68"/>
      <c r="D237" s="68"/>
      <c r="E237" s="68"/>
      <c r="F237" s="68"/>
      <c r="G237" s="69"/>
      <c r="H237" s="69"/>
      <c r="I237" s="615"/>
    </row>
    <row r="238" spans="1:9" s="1" customFormat="1">
      <c r="A238" s="36"/>
      <c r="B238" s="36"/>
      <c r="C238" s="36"/>
      <c r="D238" s="36"/>
      <c r="E238" s="36"/>
      <c r="F238" s="36"/>
      <c r="G238" s="36"/>
      <c r="H238" s="50"/>
      <c r="I238" s="36"/>
    </row>
    <row r="239" spans="1:9" s="1" customFormat="1">
      <c r="A239" s="36"/>
      <c r="B239" s="36"/>
      <c r="C239" s="36"/>
      <c r="D239" s="36"/>
      <c r="E239" s="36"/>
      <c r="F239" s="36"/>
      <c r="G239" s="58"/>
      <c r="H239" s="70"/>
      <c r="I239" s="50"/>
    </row>
    <row r="240" spans="1:9" s="1" customFormat="1">
      <c r="A240" s="36"/>
      <c r="B240" s="36"/>
      <c r="C240" s="36"/>
      <c r="D240" s="36"/>
      <c r="E240" s="36"/>
      <c r="F240" s="36"/>
      <c r="G240" s="59"/>
      <c r="H240" s="70"/>
      <c r="I240" s="50"/>
    </row>
    <row r="241" spans="1:9" s="1" customFormat="1">
      <c r="A241" s="36"/>
      <c r="B241" s="36"/>
      <c r="C241" s="36"/>
      <c r="D241" s="36"/>
      <c r="E241" s="36"/>
      <c r="F241" s="36"/>
      <c r="G241" s="60"/>
      <c r="H241" s="70"/>
      <c r="I241" s="50"/>
    </row>
    <row r="242" spans="1:9" s="1" customFormat="1">
      <c r="A242" s="36"/>
      <c r="B242" s="36"/>
      <c r="C242" s="36"/>
      <c r="D242" s="36"/>
      <c r="E242" s="36"/>
      <c r="F242" s="36"/>
      <c r="G242" s="60"/>
      <c r="H242" s="70"/>
      <c r="I242" s="50"/>
    </row>
    <row r="243" spans="1:9" s="1" customFormat="1">
      <c r="A243" s="36"/>
      <c r="B243" s="36"/>
      <c r="C243" s="36"/>
      <c r="D243" s="36"/>
      <c r="E243" s="36"/>
      <c r="F243" s="36"/>
      <c r="G243" s="60"/>
      <c r="H243" s="70"/>
      <c r="I243" s="50"/>
    </row>
    <row r="244" spans="1:9" s="1" customFormat="1">
      <c r="A244" s="36"/>
      <c r="B244" s="36"/>
      <c r="C244" s="36"/>
      <c r="D244" s="36"/>
      <c r="E244" s="36"/>
      <c r="F244" s="36"/>
      <c r="G244" s="60"/>
      <c r="H244" s="70"/>
      <c r="I244" s="50"/>
    </row>
    <row r="245" spans="1:9" s="1" customFormat="1">
      <c r="A245" s="36"/>
      <c r="B245" s="36"/>
      <c r="C245" s="36"/>
      <c r="D245" s="36"/>
      <c r="E245" s="36"/>
      <c r="F245" s="36"/>
      <c r="G245" s="36"/>
      <c r="H245" s="36"/>
      <c r="I245" s="36"/>
    </row>
    <row r="246" spans="1:9" s="1" customFormat="1">
      <c r="A246" s="68"/>
      <c r="B246" s="68"/>
      <c r="C246" s="68"/>
      <c r="D246" s="68"/>
      <c r="E246" s="68"/>
      <c r="F246" s="68"/>
      <c r="G246" s="622"/>
      <c r="H246" s="71"/>
      <c r="I246" s="71"/>
    </row>
    <row r="247" spans="1:9" s="1" customFormat="1">
      <c r="A247" s="68"/>
      <c r="B247" s="68"/>
      <c r="C247" s="68"/>
      <c r="D247" s="68"/>
      <c r="E247" s="68"/>
      <c r="F247" s="68"/>
      <c r="G247" s="622"/>
      <c r="H247" s="71"/>
      <c r="I247" s="71"/>
    </row>
    <row r="248" spans="1:9" s="1" customFormat="1">
      <c r="A248" s="61"/>
      <c r="B248" s="36"/>
      <c r="C248" s="62"/>
      <c r="D248" s="62"/>
      <c r="E248" s="62"/>
      <c r="F248" s="36"/>
      <c r="G248" s="62"/>
      <c r="H248" s="72"/>
      <c r="I248" s="50"/>
    </row>
    <row r="249" spans="1:9" s="1" customFormat="1">
      <c r="A249" s="36"/>
      <c r="B249" s="36"/>
      <c r="C249" s="36"/>
      <c r="D249" s="36"/>
      <c r="E249" s="36"/>
      <c r="F249" s="36"/>
      <c r="G249" s="50"/>
      <c r="H249" s="50"/>
      <c r="I249" s="70"/>
    </row>
    <row r="250" spans="1:9" s="1" customFormat="1">
      <c r="A250" s="36"/>
      <c r="B250" s="36"/>
      <c r="C250" s="36"/>
      <c r="D250" s="36"/>
      <c r="E250" s="36"/>
      <c r="F250" s="36"/>
      <c r="G250" s="70"/>
      <c r="H250" s="50"/>
      <c r="I250" s="50"/>
    </row>
    <row r="251" spans="1:9" s="1" customFormat="1">
      <c r="A251" s="36"/>
      <c r="B251" s="36"/>
      <c r="C251" s="36"/>
      <c r="D251" s="36"/>
      <c r="E251" s="36"/>
      <c r="F251" s="36"/>
      <c r="G251" s="47"/>
      <c r="H251" s="50"/>
      <c r="I251" s="50"/>
    </row>
    <row r="252" spans="1:9" s="1" customFormat="1">
      <c r="A252" s="36"/>
      <c r="B252" s="36"/>
      <c r="C252" s="36"/>
      <c r="D252" s="36"/>
      <c r="E252" s="36"/>
      <c r="F252" s="36"/>
      <c r="G252" s="73"/>
      <c r="H252" s="50"/>
      <c r="I252" s="50"/>
    </row>
    <row r="253" spans="1:9" s="1" customFormat="1">
      <c r="A253" s="36"/>
      <c r="B253" s="36"/>
      <c r="C253" s="36"/>
      <c r="D253" s="36"/>
      <c r="E253" s="36"/>
      <c r="F253" s="50"/>
      <c r="G253" s="36"/>
      <c r="H253" s="36"/>
      <c r="I253" s="36"/>
    </row>
    <row r="254" spans="1:9" s="1" customFormat="1">
      <c r="A254" s="63"/>
      <c r="B254" s="36"/>
      <c r="C254" s="36"/>
      <c r="D254" s="36"/>
      <c r="E254" s="36"/>
      <c r="F254" s="50"/>
      <c r="G254" s="36"/>
      <c r="H254" s="36"/>
      <c r="I254" s="36"/>
    </row>
    <row r="255" spans="1:9" s="1" customFormat="1">
      <c r="A255" s="36"/>
      <c r="B255" s="74"/>
      <c r="C255" s="36"/>
      <c r="D255" s="36"/>
      <c r="E255" s="36"/>
      <c r="F255" s="36"/>
      <c r="G255" s="36"/>
      <c r="H255" s="36"/>
      <c r="I255" s="36"/>
    </row>
    <row r="256" spans="1:9" s="1" customFormat="1">
      <c r="A256" s="619"/>
      <c r="B256" s="182"/>
      <c r="C256" s="182"/>
      <c r="D256" s="182"/>
      <c r="E256" s="619"/>
      <c r="F256" s="619"/>
      <c r="G256" s="619"/>
      <c r="H256" s="619"/>
      <c r="I256" s="619"/>
    </row>
    <row r="257" spans="1:9" s="1" customFormat="1">
      <c r="A257" s="619"/>
      <c r="B257" s="182"/>
      <c r="C257" s="182"/>
      <c r="D257" s="182"/>
      <c r="E257" s="182"/>
      <c r="F257" s="182"/>
      <c r="G257" s="620"/>
      <c r="H257" s="620"/>
      <c r="I257" s="620"/>
    </row>
    <row r="258" spans="1:9" s="1" customFormat="1">
      <c r="A258" s="64"/>
      <c r="B258" s="76"/>
      <c r="C258" s="50"/>
      <c r="D258" s="50"/>
      <c r="E258" s="50"/>
      <c r="F258" s="65"/>
      <c r="G258" s="50"/>
      <c r="H258" s="50"/>
      <c r="I258" s="55"/>
    </row>
    <row r="259" spans="1:9" s="1" customFormat="1">
      <c r="A259" s="64"/>
      <c r="B259" s="76"/>
      <c r="C259" s="50"/>
      <c r="D259" s="50"/>
      <c r="E259" s="50"/>
      <c r="F259" s="65"/>
      <c r="G259" s="50"/>
      <c r="H259" s="54"/>
      <c r="I259" s="55"/>
    </row>
    <row r="260" spans="1:9" s="1" customFormat="1">
      <c r="A260" s="64"/>
      <c r="B260" s="76"/>
      <c r="C260" s="50"/>
      <c r="D260" s="50"/>
      <c r="E260" s="50"/>
      <c r="F260" s="65"/>
      <c r="G260" s="50"/>
      <c r="H260" s="54"/>
      <c r="I260" s="36"/>
    </row>
    <row r="261" spans="1:9" s="1" customFormat="1">
      <c r="A261" s="64"/>
      <c r="B261" s="76"/>
      <c r="C261" s="50"/>
      <c r="D261" s="50"/>
      <c r="E261" s="50"/>
      <c r="F261" s="65"/>
      <c r="G261" s="50"/>
      <c r="H261" s="54"/>
      <c r="I261" s="55"/>
    </row>
    <row r="262" spans="1:9" s="1" customFormat="1">
      <c r="A262" s="64"/>
      <c r="B262" s="77"/>
      <c r="C262" s="50"/>
      <c r="D262" s="50"/>
      <c r="E262" s="50"/>
      <c r="F262" s="65"/>
      <c r="G262" s="50"/>
      <c r="H262" s="54"/>
      <c r="I262" s="55"/>
    </row>
    <row r="263" spans="1:9" s="1" customFormat="1">
      <c r="A263" s="64"/>
      <c r="B263" s="77"/>
      <c r="C263" s="50"/>
      <c r="D263" s="50"/>
      <c r="E263" s="50"/>
      <c r="F263" s="65"/>
      <c r="G263" s="50"/>
      <c r="H263" s="54"/>
      <c r="I263" s="55"/>
    </row>
    <row r="264" spans="1:9" s="1" customFormat="1">
      <c r="A264" s="64"/>
      <c r="B264" s="77"/>
      <c r="C264" s="50"/>
      <c r="D264" s="50"/>
      <c r="E264" s="50"/>
      <c r="F264" s="65"/>
      <c r="G264" s="50"/>
      <c r="H264" s="54"/>
      <c r="I264" s="55"/>
    </row>
    <row r="265" spans="1:9" s="1" customFormat="1">
      <c r="A265" s="64"/>
      <c r="B265" s="77"/>
      <c r="C265" s="50"/>
      <c r="D265" s="50"/>
      <c r="E265" s="50"/>
      <c r="F265" s="65"/>
      <c r="G265" s="50"/>
      <c r="H265" s="54"/>
      <c r="I265" s="55"/>
    </row>
    <row r="266" spans="1:9" s="1" customFormat="1">
      <c r="A266" s="64"/>
      <c r="B266" s="77"/>
      <c r="C266" s="50"/>
      <c r="D266" s="50"/>
      <c r="E266" s="50"/>
      <c r="F266" s="65"/>
      <c r="G266" s="50"/>
      <c r="H266" s="54"/>
      <c r="I266" s="55"/>
    </row>
    <row r="267" spans="1:9" s="1" customFormat="1">
      <c r="A267" s="64"/>
      <c r="B267" s="77"/>
      <c r="C267" s="50"/>
      <c r="D267" s="50"/>
      <c r="E267" s="50"/>
      <c r="F267" s="65"/>
      <c r="G267" s="50"/>
      <c r="H267" s="54"/>
      <c r="I267" s="55"/>
    </row>
    <row r="268" spans="1:9" s="1" customFormat="1">
      <c r="A268" s="64"/>
      <c r="B268" s="77"/>
      <c r="C268" s="50"/>
      <c r="D268" s="50"/>
      <c r="E268" s="50"/>
      <c r="F268" s="65"/>
      <c r="G268" s="50"/>
      <c r="H268" s="54"/>
      <c r="I268" s="55"/>
    </row>
    <row r="269" spans="1:9" s="1" customFormat="1">
      <c r="A269" s="64"/>
      <c r="B269" s="77"/>
      <c r="C269" s="50"/>
      <c r="D269" s="50"/>
      <c r="E269" s="50"/>
      <c r="F269" s="65"/>
      <c r="G269" s="50"/>
      <c r="H269" s="54"/>
      <c r="I269" s="55"/>
    </row>
    <row r="270" spans="1:9" s="1" customFormat="1">
      <c r="A270" s="64"/>
      <c r="B270" s="77"/>
      <c r="C270" s="50"/>
      <c r="D270" s="50"/>
      <c r="E270" s="50"/>
      <c r="F270" s="65"/>
      <c r="G270" s="50"/>
      <c r="H270" s="54"/>
      <c r="I270" s="55"/>
    </row>
    <row r="271" spans="1:9" s="1" customFormat="1">
      <c r="A271" s="64"/>
      <c r="B271" s="77"/>
      <c r="C271" s="50"/>
      <c r="D271" s="50"/>
      <c r="E271" s="50"/>
      <c r="F271" s="65"/>
      <c r="G271" s="50"/>
      <c r="H271" s="54"/>
      <c r="I271" s="55"/>
    </row>
    <row r="272" spans="1:9" s="1" customFormat="1">
      <c r="A272" s="64"/>
      <c r="B272" s="77"/>
      <c r="C272" s="50"/>
      <c r="D272" s="50"/>
      <c r="E272" s="50"/>
      <c r="F272" s="65"/>
      <c r="G272" s="50"/>
      <c r="H272" s="54"/>
      <c r="I272" s="55"/>
    </row>
    <row r="273" spans="1:9" s="1" customFormat="1">
      <c r="A273" s="64"/>
      <c r="B273" s="77"/>
      <c r="C273" s="50"/>
      <c r="D273" s="50"/>
      <c r="E273" s="50"/>
      <c r="F273" s="65"/>
      <c r="G273" s="50"/>
      <c r="H273" s="54"/>
      <c r="I273" s="55"/>
    </row>
    <row r="274" spans="1:9" s="1" customFormat="1">
      <c r="A274" s="64"/>
      <c r="B274" s="77"/>
      <c r="C274" s="50"/>
      <c r="D274" s="50"/>
      <c r="E274" s="50"/>
      <c r="F274" s="65"/>
      <c r="G274" s="50"/>
      <c r="H274" s="54"/>
      <c r="I274" s="55"/>
    </row>
    <row r="275" spans="1:9" s="1" customFormat="1">
      <c r="A275" s="64"/>
      <c r="B275" s="77"/>
      <c r="C275" s="50"/>
      <c r="D275" s="50"/>
      <c r="E275" s="50"/>
      <c r="F275" s="65"/>
      <c r="G275" s="50"/>
      <c r="H275" s="54"/>
      <c r="I275" s="55"/>
    </row>
    <row r="276" spans="1:9" s="1" customFormat="1">
      <c r="A276" s="64"/>
      <c r="B276" s="77"/>
      <c r="C276" s="50"/>
      <c r="D276" s="50"/>
      <c r="E276" s="50"/>
      <c r="F276" s="65"/>
      <c r="G276" s="50"/>
      <c r="H276" s="54"/>
      <c r="I276" s="55"/>
    </row>
    <row r="277" spans="1:9" s="1" customFormat="1">
      <c r="A277" s="64"/>
      <c r="B277" s="77"/>
      <c r="C277" s="50"/>
      <c r="D277" s="50"/>
      <c r="E277" s="50"/>
      <c r="F277" s="65"/>
      <c r="G277" s="50"/>
      <c r="H277" s="54"/>
      <c r="I277" s="55"/>
    </row>
    <row r="278" spans="1:9" s="1" customFormat="1">
      <c r="A278" s="64"/>
      <c r="B278" s="77"/>
      <c r="C278" s="50"/>
      <c r="D278" s="50"/>
      <c r="E278" s="50"/>
      <c r="F278" s="65"/>
      <c r="G278" s="50"/>
      <c r="H278" s="54"/>
      <c r="I278" s="55"/>
    </row>
    <row r="279" spans="1:9" s="1" customFormat="1">
      <c r="A279" s="64"/>
      <c r="B279" s="77"/>
      <c r="C279" s="50"/>
      <c r="D279" s="50"/>
      <c r="E279" s="50"/>
      <c r="F279" s="65"/>
      <c r="G279" s="50"/>
      <c r="H279" s="54"/>
      <c r="I279" s="55"/>
    </row>
    <row r="280" spans="1:9" s="1" customFormat="1">
      <c r="A280" s="64"/>
      <c r="B280" s="77"/>
      <c r="C280" s="50"/>
      <c r="D280" s="50"/>
      <c r="E280" s="50"/>
      <c r="F280" s="65"/>
      <c r="G280" s="50"/>
      <c r="H280" s="54"/>
      <c r="I280" s="55"/>
    </row>
    <row r="281" spans="1:9" s="1" customFormat="1">
      <c r="A281" s="64"/>
      <c r="B281" s="77"/>
      <c r="C281" s="50"/>
      <c r="D281" s="50"/>
      <c r="E281" s="50"/>
      <c r="F281" s="65"/>
      <c r="G281" s="50"/>
      <c r="H281" s="54"/>
      <c r="I281" s="55"/>
    </row>
    <row r="282" spans="1:9" s="1" customFormat="1">
      <c r="A282" s="64"/>
      <c r="B282" s="77"/>
      <c r="C282" s="50"/>
      <c r="D282" s="50"/>
      <c r="E282" s="50"/>
      <c r="F282" s="65"/>
      <c r="G282" s="50"/>
      <c r="H282" s="54"/>
      <c r="I282" s="55"/>
    </row>
    <row r="283" spans="1:9" s="1" customFormat="1">
      <c r="A283" s="82"/>
      <c r="B283" s="56"/>
      <c r="C283" s="56"/>
      <c r="D283" s="56"/>
      <c r="E283" s="56"/>
      <c r="F283" s="56"/>
      <c r="G283" s="56"/>
      <c r="H283" s="56"/>
      <c r="I283" s="56"/>
    </row>
    <row r="284" spans="1:9" s="1" customFormat="1">
      <c r="A284" s="36"/>
      <c r="B284" s="50"/>
      <c r="C284" s="50"/>
      <c r="D284" s="50"/>
      <c r="E284" s="50"/>
      <c r="F284" s="36"/>
      <c r="G284" s="36"/>
      <c r="H284" s="36"/>
      <c r="I284" s="36"/>
    </row>
    <row r="285" spans="1:9" s="1" customFormat="1">
      <c r="A285" s="36"/>
      <c r="B285" s="36"/>
      <c r="C285" s="78"/>
      <c r="D285" s="78"/>
      <c r="E285" s="79"/>
      <c r="F285" s="80"/>
      <c r="G285" s="78"/>
      <c r="H285" s="36"/>
      <c r="I285" s="81"/>
    </row>
    <row r="286" spans="1:9" s="1" customFormat="1" ht="12">
      <c r="A286" s="4"/>
      <c r="B286" s="4"/>
      <c r="C286" s="4"/>
      <c r="D286" s="4"/>
      <c r="E286" s="4"/>
      <c r="F286" s="4"/>
      <c r="G286" s="4"/>
      <c r="H286" s="4"/>
      <c r="I286" s="4"/>
    </row>
    <row r="287" spans="1:9" s="1" customFormat="1" ht="20.25">
      <c r="A287" s="66"/>
      <c r="B287" s="67"/>
      <c r="C287" s="4"/>
      <c r="D287" s="4"/>
      <c r="E287" s="4"/>
      <c r="F287" s="4"/>
      <c r="G287" s="57"/>
      <c r="H287" s="57"/>
      <c r="I287" s="57"/>
    </row>
    <row r="288" spans="1:9" s="1" customFormat="1" ht="20.25">
      <c r="A288" s="57"/>
      <c r="B288" s="57"/>
      <c r="C288" s="57"/>
      <c r="D288" s="57"/>
      <c r="E288" s="57"/>
      <c r="F288" s="57"/>
      <c r="G288" s="57"/>
      <c r="H288" s="57"/>
      <c r="I288" s="57"/>
    </row>
    <row r="289" spans="1:9" s="1" customFormat="1" ht="33" customHeight="1">
      <c r="A289" s="618"/>
      <c r="B289" s="668"/>
      <c r="C289" s="668"/>
      <c r="D289" s="181"/>
      <c r="E289" s="57"/>
      <c r="F289" s="57"/>
      <c r="G289" s="57"/>
      <c r="H289" s="57"/>
      <c r="I289" s="57"/>
    </row>
    <row r="290" spans="1:9" s="1" customFormat="1">
      <c r="A290" s="68"/>
      <c r="B290" s="68"/>
      <c r="C290" s="68"/>
      <c r="D290" s="68"/>
      <c r="E290" s="68"/>
      <c r="F290" s="68"/>
      <c r="G290" s="69"/>
      <c r="H290" s="69"/>
      <c r="I290" s="615"/>
    </row>
    <row r="291" spans="1:9" s="1" customFormat="1">
      <c r="A291" s="68"/>
      <c r="B291" s="68"/>
      <c r="C291" s="68"/>
      <c r="D291" s="68"/>
      <c r="E291" s="68"/>
      <c r="F291" s="68"/>
      <c r="G291" s="69"/>
      <c r="H291" s="69"/>
      <c r="I291" s="615"/>
    </row>
    <row r="292" spans="1:9" s="1" customFormat="1">
      <c r="A292" s="36"/>
      <c r="B292" s="36"/>
      <c r="C292" s="36"/>
      <c r="D292" s="36"/>
      <c r="E292" s="36"/>
      <c r="F292" s="36"/>
      <c r="G292" s="36"/>
      <c r="H292" s="50"/>
      <c r="I292" s="36"/>
    </row>
    <row r="293" spans="1:9" s="1" customFormat="1">
      <c r="A293" s="36"/>
      <c r="B293" s="36"/>
      <c r="C293" s="36"/>
      <c r="D293" s="36"/>
      <c r="E293" s="36"/>
      <c r="F293" s="36"/>
      <c r="G293" s="58"/>
      <c r="H293" s="70"/>
      <c r="I293" s="50"/>
    </row>
    <row r="294" spans="1:9" s="1" customFormat="1">
      <c r="A294" s="36"/>
      <c r="B294" s="36"/>
      <c r="C294" s="36"/>
      <c r="D294" s="36"/>
      <c r="E294" s="36"/>
      <c r="F294" s="36"/>
      <c r="G294" s="59"/>
      <c r="H294" s="70"/>
      <c r="I294" s="50"/>
    </row>
    <row r="295" spans="1:9" s="1" customFormat="1">
      <c r="A295" s="36"/>
      <c r="B295" s="36"/>
      <c r="C295" s="36"/>
      <c r="D295" s="36"/>
      <c r="E295" s="36"/>
      <c r="F295" s="36"/>
      <c r="G295" s="60"/>
      <c r="H295" s="70"/>
      <c r="I295" s="50"/>
    </row>
    <row r="296" spans="1:9" s="1" customFormat="1">
      <c r="A296" s="36"/>
      <c r="B296" s="36"/>
      <c r="C296" s="36"/>
      <c r="D296" s="36"/>
      <c r="E296" s="36"/>
      <c r="F296" s="36"/>
      <c r="G296" s="60"/>
      <c r="H296" s="70"/>
      <c r="I296" s="50"/>
    </row>
    <row r="297" spans="1:9" s="1" customFormat="1">
      <c r="A297" s="36"/>
      <c r="B297" s="36"/>
      <c r="C297" s="36"/>
      <c r="D297" s="36"/>
      <c r="E297" s="36"/>
      <c r="F297" s="36"/>
      <c r="G297" s="60"/>
      <c r="H297" s="70"/>
      <c r="I297" s="50"/>
    </row>
    <row r="298" spans="1:9" s="1" customFormat="1">
      <c r="A298" s="36"/>
      <c r="B298" s="36"/>
      <c r="C298" s="36"/>
      <c r="D298" s="36"/>
      <c r="E298" s="36"/>
      <c r="F298" s="36"/>
      <c r="G298" s="60"/>
      <c r="H298" s="70"/>
      <c r="I298" s="50"/>
    </row>
    <row r="299" spans="1:9" s="1" customFormat="1">
      <c r="A299" s="36"/>
      <c r="B299" s="36"/>
      <c r="C299" s="36"/>
      <c r="D299" s="36"/>
      <c r="E299" s="36"/>
      <c r="F299" s="36"/>
      <c r="G299" s="36"/>
      <c r="H299" s="36"/>
      <c r="I299" s="36"/>
    </row>
    <row r="300" spans="1:9" s="1" customFormat="1">
      <c r="A300" s="68"/>
      <c r="B300" s="68"/>
      <c r="C300" s="68"/>
      <c r="D300" s="68"/>
      <c r="E300" s="68"/>
      <c r="F300" s="68"/>
      <c r="G300" s="622"/>
      <c r="H300" s="71"/>
      <c r="I300" s="71"/>
    </row>
    <row r="301" spans="1:9" s="1" customFormat="1">
      <c r="A301" s="68"/>
      <c r="B301" s="68"/>
      <c r="C301" s="68"/>
      <c r="D301" s="68"/>
      <c r="E301" s="68"/>
      <c r="F301" s="68"/>
      <c r="G301" s="622"/>
      <c r="H301" s="71"/>
      <c r="I301" s="71"/>
    </row>
    <row r="302" spans="1:9" s="1" customFormat="1">
      <c r="A302" s="61"/>
      <c r="B302" s="36"/>
      <c r="C302" s="62"/>
      <c r="D302" s="62"/>
      <c r="E302" s="62"/>
      <c r="F302" s="36"/>
      <c r="G302" s="62"/>
      <c r="H302" s="72"/>
      <c r="I302" s="50"/>
    </row>
    <row r="303" spans="1:9" s="1" customFormat="1">
      <c r="A303" s="36"/>
      <c r="B303" s="36"/>
      <c r="C303" s="36"/>
      <c r="D303" s="36"/>
      <c r="E303" s="36"/>
      <c r="F303" s="36"/>
      <c r="G303" s="50"/>
      <c r="H303" s="50"/>
      <c r="I303" s="70"/>
    </row>
    <row r="304" spans="1:9" s="1" customFormat="1">
      <c r="A304" s="36"/>
      <c r="B304" s="36"/>
      <c r="C304" s="36"/>
      <c r="D304" s="36"/>
      <c r="E304" s="36"/>
      <c r="F304" s="36"/>
      <c r="G304" s="70"/>
      <c r="H304" s="50"/>
      <c r="I304" s="50"/>
    </row>
    <row r="305" spans="1:9" s="1" customFormat="1">
      <c r="A305" s="36"/>
      <c r="B305" s="36"/>
      <c r="C305" s="36"/>
      <c r="D305" s="36"/>
      <c r="E305" s="36"/>
      <c r="F305" s="36"/>
      <c r="G305" s="47"/>
      <c r="H305" s="50"/>
      <c r="I305" s="50"/>
    </row>
    <row r="306" spans="1:9" s="1" customFormat="1">
      <c r="A306" s="36"/>
      <c r="B306" s="36"/>
      <c r="C306" s="36"/>
      <c r="D306" s="36"/>
      <c r="E306" s="36"/>
      <c r="F306" s="36"/>
      <c r="G306" s="73"/>
      <c r="H306" s="50"/>
      <c r="I306" s="50"/>
    </row>
    <row r="307" spans="1:9" s="1" customFormat="1">
      <c r="A307" s="36"/>
      <c r="B307" s="36"/>
      <c r="C307" s="36"/>
      <c r="D307" s="36"/>
      <c r="E307" s="36"/>
      <c r="F307" s="50"/>
      <c r="G307" s="36"/>
      <c r="H307" s="36"/>
      <c r="I307" s="36"/>
    </row>
    <row r="308" spans="1:9" s="1" customFormat="1">
      <c r="A308" s="63"/>
      <c r="B308" s="36"/>
      <c r="C308" s="36"/>
      <c r="D308" s="36"/>
      <c r="E308" s="36"/>
      <c r="F308" s="50"/>
      <c r="G308" s="36"/>
      <c r="H308" s="36"/>
      <c r="I308" s="36"/>
    </row>
    <row r="309" spans="1:9" s="1" customFormat="1">
      <c r="A309" s="36"/>
      <c r="B309" s="74"/>
      <c r="C309" s="36"/>
      <c r="D309" s="36"/>
      <c r="E309" s="36"/>
      <c r="F309" s="36"/>
      <c r="G309" s="36"/>
      <c r="H309" s="36"/>
      <c r="I309" s="36"/>
    </row>
    <row r="310" spans="1:9" s="1" customFormat="1">
      <c r="A310" s="619"/>
      <c r="B310" s="182"/>
      <c r="C310" s="182"/>
      <c r="D310" s="182"/>
      <c r="E310" s="619"/>
      <c r="F310" s="619"/>
      <c r="G310" s="619"/>
      <c r="H310" s="619"/>
      <c r="I310" s="619"/>
    </row>
    <row r="311" spans="1:9" s="1" customFormat="1">
      <c r="A311" s="619"/>
      <c r="B311" s="182"/>
      <c r="C311" s="182"/>
      <c r="D311" s="182"/>
      <c r="E311" s="182"/>
      <c r="F311" s="182"/>
      <c r="G311" s="620"/>
      <c r="H311" s="620"/>
      <c r="I311" s="620"/>
    </row>
    <row r="312" spans="1:9" s="1" customFormat="1">
      <c r="A312" s="64"/>
      <c r="B312" s="76"/>
      <c r="C312" s="50"/>
      <c r="D312" s="50"/>
      <c r="E312" s="50"/>
      <c r="F312" s="65"/>
      <c r="G312" s="50"/>
      <c r="H312" s="50"/>
      <c r="I312" s="55"/>
    </row>
    <row r="313" spans="1:9" s="1" customFormat="1">
      <c r="A313" s="64"/>
      <c r="B313" s="76"/>
      <c r="C313" s="50"/>
      <c r="D313" s="50"/>
      <c r="E313" s="50"/>
      <c r="F313" s="65"/>
      <c r="G313" s="50"/>
      <c r="H313" s="54"/>
      <c r="I313" s="55"/>
    </row>
    <row r="314" spans="1:9" s="1" customFormat="1">
      <c r="A314" s="64"/>
      <c r="B314" s="76"/>
      <c r="C314" s="50"/>
      <c r="D314" s="50"/>
      <c r="E314" s="50"/>
      <c r="F314" s="65"/>
      <c r="G314" s="50"/>
      <c r="H314" s="54"/>
      <c r="I314" s="36"/>
    </row>
    <row r="315" spans="1:9" s="1" customFormat="1">
      <c r="A315" s="64"/>
      <c r="B315" s="76"/>
      <c r="C315" s="50"/>
      <c r="D315" s="50"/>
      <c r="E315" s="50"/>
      <c r="F315" s="65"/>
      <c r="G315" s="50"/>
      <c r="H315" s="54"/>
      <c r="I315" s="55"/>
    </row>
    <row r="316" spans="1:9" s="1" customFormat="1">
      <c r="A316" s="64"/>
      <c r="B316" s="77"/>
      <c r="C316" s="50"/>
      <c r="D316" s="50"/>
      <c r="E316" s="50"/>
      <c r="F316" s="65"/>
      <c r="G316" s="50"/>
      <c r="H316" s="54"/>
      <c r="I316" s="55"/>
    </row>
    <row r="317" spans="1:9" s="1" customFormat="1">
      <c r="A317" s="64"/>
      <c r="B317" s="77"/>
      <c r="C317" s="50"/>
      <c r="D317" s="50"/>
      <c r="E317" s="50"/>
      <c r="F317" s="65"/>
      <c r="G317" s="50"/>
      <c r="H317" s="54"/>
      <c r="I317" s="55"/>
    </row>
    <row r="318" spans="1:9" s="1" customFormat="1">
      <c r="A318" s="64"/>
      <c r="B318" s="77"/>
      <c r="C318" s="50"/>
      <c r="D318" s="50"/>
      <c r="E318" s="50"/>
      <c r="F318" s="65"/>
      <c r="G318" s="50"/>
      <c r="H318" s="54"/>
      <c r="I318" s="55"/>
    </row>
    <row r="319" spans="1:9" s="1" customFormat="1">
      <c r="A319" s="64"/>
      <c r="B319" s="77"/>
      <c r="C319" s="50"/>
      <c r="D319" s="50"/>
      <c r="E319" s="50"/>
      <c r="F319" s="65"/>
      <c r="G319" s="50"/>
      <c r="H319" s="54"/>
      <c r="I319" s="55"/>
    </row>
    <row r="320" spans="1:9" s="1" customFormat="1">
      <c r="A320" s="64"/>
      <c r="B320" s="77"/>
      <c r="C320" s="50"/>
      <c r="D320" s="50"/>
      <c r="E320" s="50"/>
      <c r="F320" s="65"/>
      <c r="G320" s="50"/>
      <c r="H320" s="54"/>
      <c r="I320" s="55"/>
    </row>
    <row r="321" spans="1:9" s="1" customFormat="1">
      <c r="A321" s="64"/>
      <c r="B321" s="77"/>
      <c r="C321" s="50"/>
      <c r="D321" s="50"/>
      <c r="E321" s="50"/>
      <c r="F321" s="65"/>
      <c r="G321" s="50"/>
      <c r="H321" s="54"/>
      <c r="I321" s="55"/>
    </row>
    <row r="322" spans="1:9" s="1" customFormat="1">
      <c r="A322" s="64"/>
      <c r="B322" s="77"/>
      <c r="C322" s="50"/>
      <c r="D322" s="50"/>
      <c r="E322" s="50"/>
      <c r="F322" s="65"/>
      <c r="G322" s="50"/>
      <c r="H322" s="54"/>
      <c r="I322" s="55"/>
    </row>
    <row r="323" spans="1:9" s="1" customFormat="1">
      <c r="A323" s="64"/>
      <c r="B323" s="77"/>
      <c r="C323" s="50"/>
      <c r="D323" s="50"/>
      <c r="E323" s="50"/>
      <c r="F323" s="65"/>
      <c r="G323" s="50"/>
      <c r="H323" s="54"/>
      <c r="I323" s="55"/>
    </row>
    <row r="324" spans="1:9" s="1" customFormat="1">
      <c r="A324" s="64"/>
      <c r="B324" s="77"/>
      <c r="C324" s="50"/>
      <c r="D324" s="50"/>
      <c r="E324" s="50"/>
      <c r="F324" s="65"/>
      <c r="G324" s="50"/>
      <c r="H324" s="54"/>
      <c r="I324" s="55"/>
    </row>
    <row r="325" spans="1:9" s="1" customFormat="1">
      <c r="A325" s="64"/>
      <c r="B325" s="77"/>
      <c r="C325" s="50"/>
      <c r="D325" s="50"/>
      <c r="E325" s="50"/>
      <c r="F325" s="65"/>
      <c r="G325" s="50"/>
      <c r="H325" s="54"/>
      <c r="I325" s="55"/>
    </row>
    <row r="326" spans="1:9" s="1" customFormat="1">
      <c r="A326" s="64"/>
      <c r="B326" s="77"/>
      <c r="C326" s="50"/>
      <c r="D326" s="50"/>
      <c r="E326" s="50"/>
      <c r="F326" s="65"/>
      <c r="G326" s="50"/>
      <c r="H326" s="54"/>
      <c r="I326" s="55"/>
    </row>
    <row r="327" spans="1:9" s="1" customFormat="1">
      <c r="A327" s="64"/>
      <c r="B327" s="77"/>
      <c r="C327" s="50"/>
      <c r="D327" s="50"/>
      <c r="E327" s="50"/>
      <c r="F327" s="65"/>
      <c r="G327" s="50"/>
      <c r="H327" s="54"/>
      <c r="I327" s="55"/>
    </row>
    <row r="328" spans="1:9" s="1" customFormat="1">
      <c r="A328" s="64"/>
      <c r="B328" s="77"/>
      <c r="C328" s="50"/>
      <c r="D328" s="50"/>
      <c r="E328" s="50"/>
      <c r="F328" s="65"/>
      <c r="G328" s="50"/>
      <c r="H328" s="54"/>
      <c r="I328" s="55"/>
    </row>
    <row r="329" spans="1:9" s="1" customFormat="1">
      <c r="A329" s="64"/>
      <c r="B329" s="77"/>
      <c r="C329" s="50"/>
      <c r="D329" s="50"/>
      <c r="E329" s="50"/>
      <c r="F329" s="65"/>
      <c r="G329" s="50"/>
      <c r="H329" s="54"/>
      <c r="I329" s="55"/>
    </row>
    <row r="330" spans="1:9" s="1" customFormat="1">
      <c r="A330" s="64"/>
      <c r="B330" s="77"/>
      <c r="C330" s="50"/>
      <c r="D330" s="50"/>
      <c r="E330" s="50"/>
      <c r="F330" s="65"/>
      <c r="G330" s="50"/>
      <c r="H330" s="54"/>
      <c r="I330" s="55"/>
    </row>
    <row r="331" spans="1:9" s="1" customFormat="1">
      <c r="A331" s="64"/>
      <c r="B331" s="77"/>
      <c r="C331" s="50"/>
      <c r="D331" s="50"/>
      <c r="E331" s="50"/>
      <c r="F331" s="65"/>
      <c r="G331" s="50"/>
      <c r="H331" s="54"/>
      <c r="I331" s="55"/>
    </row>
    <row r="332" spans="1:9" s="1" customFormat="1">
      <c r="A332" s="64"/>
      <c r="B332" s="77"/>
      <c r="C332" s="50"/>
      <c r="D332" s="50"/>
      <c r="E332" s="50"/>
      <c r="F332" s="65"/>
      <c r="G332" s="50"/>
      <c r="H332" s="54"/>
      <c r="I332" s="55"/>
    </row>
    <row r="333" spans="1:9" s="1" customFormat="1">
      <c r="A333" s="64"/>
      <c r="B333" s="77"/>
      <c r="C333" s="50"/>
      <c r="D333" s="50"/>
      <c r="E333" s="50"/>
      <c r="F333" s="65"/>
      <c r="G333" s="50"/>
      <c r="H333" s="54"/>
      <c r="I333" s="55"/>
    </row>
    <row r="334" spans="1:9" s="1" customFormat="1">
      <c r="A334" s="64"/>
      <c r="B334" s="77"/>
      <c r="C334" s="50"/>
      <c r="D334" s="50"/>
      <c r="E334" s="50"/>
      <c r="F334" s="65"/>
      <c r="G334" s="50"/>
      <c r="H334" s="54"/>
      <c r="I334" s="55"/>
    </row>
    <row r="335" spans="1:9" s="1" customFormat="1">
      <c r="A335" s="64"/>
      <c r="B335" s="77"/>
      <c r="C335" s="50"/>
      <c r="D335" s="50"/>
      <c r="E335" s="50"/>
      <c r="F335" s="65"/>
      <c r="G335" s="50"/>
      <c r="H335" s="54"/>
      <c r="I335" s="55"/>
    </row>
    <row r="336" spans="1:9" s="1" customFormat="1">
      <c r="A336" s="64"/>
      <c r="B336" s="77"/>
      <c r="C336" s="50"/>
      <c r="D336" s="50"/>
      <c r="E336" s="50"/>
      <c r="F336" s="65"/>
      <c r="G336" s="50"/>
      <c r="H336" s="54"/>
      <c r="I336" s="55"/>
    </row>
    <row r="337" spans="1:9" s="1" customFormat="1">
      <c r="A337" s="82"/>
      <c r="B337" s="56"/>
      <c r="C337" s="56"/>
      <c r="D337" s="56"/>
      <c r="E337" s="56"/>
      <c r="F337" s="56"/>
      <c r="G337" s="56"/>
      <c r="H337" s="56"/>
      <c r="I337" s="56"/>
    </row>
    <row r="338" spans="1:9" s="1" customFormat="1">
      <c r="A338" s="36"/>
      <c r="B338" s="50"/>
      <c r="C338" s="50"/>
      <c r="D338" s="50"/>
      <c r="E338" s="50"/>
      <c r="F338" s="36"/>
      <c r="G338" s="36"/>
      <c r="H338" s="36"/>
      <c r="I338" s="36"/>
    </row>
    <row r="339" spans="1:9" s="1" customFormat="1">
      <c r="A339" s="36"/>
      <c r="B339" s="36"/>
      <c r="C339" s="78"/>
      <c r="D339" s="78"/>
      <c r="E339" s="79"/>
      <c r="F339" s="80"/>
      <c r="G339" s="78"/>
      <c r="H339" s="36"/>
      <c r="I339" s="81"/>
    </row>
    <row r="340" spans="1:9" s="1" customFormat="1" ht="12">
      <c r="A340" s="4"/>
      <c r="B340" s="4"/>
      <c r="C340" s="4"/>
      <c r="D340" s="4"/>
      <c r="E340" s="4"/>
      <c r="F340" s="4"/>
      <c r="G340" s="4"/>
      <c r="H340" s="4"/>
      <c r="I340" s="4"/>
    </row>
    <row r="341" spans="1:9" s="1" customFormat="1" ht="12">
      <c r="A341" s="4"/>
      <c r="B341" s="4"/>
      <c r="C341" s="4"/>
      <c r="D341" s="4"/>
      <c r="E341" s="4"/>
      <c r="F341" s="4"/>
      <c r="G341" s="4"/>
      <c r="H341" s="4"/>
      <c r="I341" s="4"/>
    </row>
    <row r="342" spans="1:9" s="1" customFormat="1" ht="20.25">
      <c r="A342" s="52"/>
      <c r="B342" s="51"/>
      <c r="G342" s="53"/>
      <c r="H342" s="53"/>
      <c r="I342" s="53"/>
    </row>
    <row r="343" spans="1:9" s="1" customFormat="1" ht="20.25">
      <c r="A343" s="53"/>
      <c r="B343" s="53"/>
      <c r="C343" s="53"/>
      <c r="D343" s="53"/>
      <c r="E343" s="53"/>
      <c r="F343" s="53"/>
      <c r="G343" s="53"/>
      <c r="H343" s="53"/>
      <c r="I343" s="53"/>
    </row>
    <row r="344" spans="1:9" s="4" customFormat="1" ht="42.75" customHeight="1">
      <c r="A344" s="618"/>
      <c r="B344" s="668"/>
      <c r="C344" s="668"/>
      <c r="D344" s="181"/>
      <c r="E344" s="57"/>
      <c r="F344" s="57"/>
      <c r="G344" s="57"/>
      <c r="H344" s="57"/>
      <c r="I344" s="57"/>
    </row>
    <row r="345" spans="1:9" s="4" customFormat="1">
      <c r="A345" s="68"/>
      <c r="B345" s="68"/>
      <c r="C345" s="68"/>
      <c r="D345" s="68"/>
      <c r="E345" s="68"/>
      <c r="F345" s="68"/>
      <c r="G345" s="69"/>
      <c r="H345" s="69"/>
      <c r="I345" s="615"/>
    </row>
    <row r="346" spans="1:9" s="4" customFormat="1">
      <c r="A346" s="68"/>
      <c r="B346" s="68"/>
      <c r="C346" s="68"/>
      <c r="D346" s="68"/>
      <c r="E346" s="68"/>
      <c r="F346" s="68"/>
      <c r="G346" s="69"/>
      <c r="H346" s="69"/>
      <c r="I346" s="615"/>
    </row>
    <row r="347" spans="1:9" s="4" customFormat="1">
      <c r="A347" s="36"/>
      <c r="B347" s="36"/>
      <c r="C347" s="36"/>
      <c r="D347" s="36"/>
      <c r="E347" s="36"/>
      <c r="F347" s="36"/>
      <c r="G347" s="36"/>
      <c r="H347" s="50"/>
      <c r="I347" s="36"/>
    </row>
    <row r="348" spans="1:9" s="4" customFormat="1">
      <c r="A348" s="36"/>
      <c r="B348" s="36"/>
      <c r="C348" s="36"/>
      <c r="D348" s="36"/>
      <c r="E348" s="36"/>
      <c r="F348" s="36"/>
      <c r="G348" s="58"/>
      <c r="H348" s="70"/>
      <c r="I348" s="50"/>
    </row>
    <row r="349" spans="1:9" s="4" customFormat="1">
      <c r="A349" s="36"/>
      <c r="B349" s="36"/>
      <c r="C349" s="36"/>
      <c r="D349" s="36"/>
      <c r="E349" s="36"/>
      <c r="F349" s="36"/>
      <c r="G349" s="59"/>
      <c r="H349" s="70"/>
      <c r="I349" s="50"/>
    </row>
    <row r="350" spans="1:9" s="4" customFormat="1">
      <c r="A350" s="36"/>
      <c r="B350" s="36"/>
      <c r="C350" s="36"/>
      <c r="D350" s="36"/>
      <c r="E350" s="36"/>
      <c r="F350" s="36"/>
      <c r="G350" s="60"/>
      <c r="H350" s="70"/>
      <c r="I350" s="50"/>
    </row>
    <row r="351" spans="1:9" s="4" customFormat="1">
      <c r="A351" s="36"/>
      <c r="B351" s="36"/>
      <c r="C351" s="36"/>
      <c r="D351" s="36"/>
      <c r="E351" s="36"/>
      <c r="F351" s="36"/>
      <c r="G351" s="60"/>
      <c r="H351" s="70"/>
      <c r="I351" s="50"/>
    </row>
    <row r="352" spans="1:9" s="4" customFormat="1">
      <c r="A352" s="36"/>
      <c r="B352" s="36"/>
      <c r="C352" s="36"/>
      <c r="D352" s="36"/>
      <c r="E352" s="36"/>
      <c r="F352" s="36"/>
      <c r="G352" s="60"/>
      <c r="H352" s="70"/>
      <c r="I352" s="50"/>
    </row>
    <row r="353" spans="1:9" s="4" customFormat="1">
      <c r="A353" s="36"/>
      <c r="B353" s="36"/>
      <c r="C353" s="36"/>
      <c r="D353" s="36"/>
      <c r="E353" s="36"/>
      <c r="F353" s="36"/>
      <c r="G353" s="60"/>
      <c r="H353" s="70"/>
      <c r="I353" s="50"/>
    </row>
    <row r="354" spans="1:9" s="4" customFormat="1">
      <c r="A354" s="36"/>
      <c r="B354" s="36"/>
      <c r="C354" s="36"/>
      <c r="D354" s="36"/>
      <c r="E354" s="36"/>
      <c r="F354" s="36"/>
      <c r="G354" s="36"/>
      <c r="H354" s="36"/>
      <c r="I354" s="36"/>
    </row>
    <row r="355" spans="1:9" s="4" customFormat="1">
      <c r="A355" s="68"/>
      <c r="B355" s="68"/>
      <c r="C355" s="68"/>
      <c r="D355" s="68"/>
      <c r="E355" s="68"/>
      <c r="F355" s="68"/>
      <c r="G355" s="622"/>
      <c r="H355" s="71"/>
      <c r="I355" s="71"/>
    </row>
    <row r="356" spans="1:9" s="4" customFormat="1">
      <c r="A356" s="68"/>
      <c r="B356" s="68"/>
      <c r="C356" s="68"/>
      <c r="D356" s="68"/>
      <c r="E356" s="68"/>
      <c r="F356" s="68"/>
      <c r="G356" s="622"/>
      <c r="H356" s="71"/>
      <c r="I356" s="71"/>
    </row>
    <row r="357" spans="1:9" s="4" customFormat="1">
      <c r="A357" s="61"/>
      <c r="B357" s="36"/>
      <c r="C357" s="62"/>
      <c r="D357" s="62"/>
      <c r="E357" s="62"/>
      <c r="F357" s="36"/>
      <c r="G357" s="62"/>
      <c r="H357" s="72"/>
      <c r="I357" s="50"/>
    </row>
    <row r="358" spans="1:9" s="4" customFormat="1">
      <c r="A358" s="36"/>
      <c r="B358" s="36"/>
      <c r="C358" s="36"/>
      <c r="D358" s="36"/>
      <c r="E358" s="36"/>
      <c r="F358" s="36"/>
      <c r="G358" s="50"/>
      <c r="H358" s="50"/>
      <c r="I358" s="70"/>
    </row>
    <row r="359" spans="1:9" s="4" customFormat="1">
      <c r="A359" s="36"/>
      <c r="B359" s="36"/>
      <c r="C359" s="36"/>
      <c r="D359" s="36"/>
      <c r="E359" s="36"/>
      <c r="F359" s="36"/>
      <c r="G359" s="70"/>
      <c r="H359" s="50"/>
      <c r="I359" s="50"/>
    </row>
    <row r="360" spans="1:9" s="4" customFormat="1">
      <c r="A360" s="36"/>
      <c r="B360" s="36"/>
      <c r="C360" s="36"/>
      <c r="D360" s="36"/>
      <c r="E360" s="36"/>
      <c r="F360" s="36"/>
      <c r="G360" s="47"/>
      <c r="H360" s="50"/>
      <c r="I360" s="50"/>
    </row>
    <row r="361" spans="1:9" s="4" customFormat="1">
      <c r="A361" s="36"/>
      <c r="B361" s="36"/>
      <c r="C361" s="36"/>
      <c r="D361" s="36"/>
      <c r="E361" s="36"/>
      <c r="F361" s="36"/>
      <c r="G361" s="73"/>
      <c r="H361" s="50"/>
      <c r="I361" s="50"/>
    </row>
    <row r="362" spans="1:9" s="4" customFormat="1">
      <c r="A362" s="36"/>
      <c r="B362" s="36"/>
      <c r="C362" s="36"/>
      <c r="D362" s="36"/>
      <c r="E362" s="36"/>
      <c r="F362" s="50"/>
      <c r="G362" s="36"/>
      <c r="H362" s="36"/>
      <c r="I362" s="36"/>
    </row>
    <row r="363" spans="1:9" s="4" customFormat="1">
      <c r="A363" s="63"/>
      <c r="B363" s="36"/>
      <c r="C363" s="36"/>
      <c r="D363" s="36"/>
      <c r="E363" s="36"/>
      <c r="F363" s="50"/>
      <c r="G363" s="36"/>
      <c r="H363" s="36"/>
      <c r="I363" s="36"/>
    </row>
    <row r="364" spans="1:9" s="4" customFormat="1">
      <c r="A364" s="36"/>
      <c r="B364" s="74"/>
      <c r="C364" s="36"/>
      <c r="D364" s="36"/>
      <c r="E364" s="36"/>
      <c r="F364" s="36"/>
      <c r="G364" s="36"/>
      <c r="H364" s="36"/>
      <c r="I364" s="36"/>
    </row>
    <row r="365" spans="1:9" s="4" customFormat="1">
      <c r="A365" s="619"/>
      <c r="B365" s="182"/>
      <c r="C365" s="182"/>
      <c r="D365" s="182"/>
      <c r="E365" s="619"/>
      <c r="F365" s="619"/>
      <c r="G365" s="619"/>
      <c r="H365" s="619"/>
      <c r="I365" s="619"/>
    </row>
    <row r="366" spans="1:9" s="4" customFormat="1">
      <c r="A366" s="619"/>
      <c r="B366" s="182"/>
      <c r="C366" s="182"/>
      <c r="D366" s="182"/>
      <c r="E366" s="182"/>
      <c r="F366" s="182"/>
      <c r="G366" s="620"/>
      <c r="H366" s="620"/>
      <c r="I366" s="620"/>
    </row>
    <row r="367" spans="1:9" s="4" customFormat="1">
      <c r="A367" s="64"/>
      <c r="B367" s="76"/>
      <c r="C367" s="50"/>
      <c r="D367" s="50"/>
      <c r="E367" s="50"/>
      <c r="F367" s="65"/>
      <c r="G367" s="50"/>
      <c r="H367" s="50"/>
      <c r="I367" s="55"/>
    </row>
    <row r="368" spans="1:9" s="4" customFormat="1">
      <c r="A368" s="64"/>
      <c r="B368" s="76"/>
      <c r="C368" s="50"/>
      <c r="D368" s="50"/>
      <c r="E368" s="50"/>
      <c r="F368" s="65"/>
      <c r="G368" s="50"/>
      <c r="H368" s="54"/>
      <c r="I368" s="55"/>
    </row>
    <row r="369" spans="1:9" s="4" customFormat="1">
      <c r="A369" s="64"/>
      <c r="B369" s="76"/>
      <c r="C369" s="50"/>
      <c r="D369" s="50"/>
      <c r="E369" s="50"/>
      <c r="F369" s="65"/>
      <c r="G369" s="50"/>
      <c r="H369" s="54"/>
      <c r="I369" s="36"/>
    </row>
    <row r="370" spans="1:9" s="4" customFormat="1">
      <c r="A370" s="64"/>
      <c r="B370" s="76"/>
      <c r="C370" s="50"/>
      <c r="D370" s="50"/>
      <c r="E370" s="50"/>
      <c r="F370" s="65"/>
      <c r="G370" s="50"/>
      <c r="H370" s="54"/>
      <c r="I370" s="55"/>
    </row>
    <row r="371" spans="1:9" s="4" customFormat="1">
      <c r="A371" s="64"/>
      <c r="B371" s="77"/>
      <c r="C371" s="50"/>
      <c r="D371" s="50"/>
      <c r="E371" s="50"/>
      <c r="F371" s="65"/>
      <c r="G371" s="50"/>
      <c r="H371" s="54"/>
      <c r="I371" s="55"/>
    </row>
    <row r="372" spans="1:9" s="4" customFormat="1">
      <c r="A372" s="64"/>
      <c r="B372" s="77"/>
      <c r="C372" s="50"/>
      <c r="D372" s="50"/>
      <c r="E372" s="50"/>
      <c r="F372" s="65"/>
      <c r="G372" s="50"/>
      <c r="H372" s="54"/>
      <c r="I372" s="55"/>
    </row>
    <row r="373" spans="1:9" s="4" customFormat="1">
      <c r="A373" s="64"/>
      <c r="B373" s="77"/>
      <c r="C373" s="50"/>
      <c r="D373" s="50"/>
      <c r="E373" s="50"/>
      <c r="F373" s="65"/>
      <c r="G373" s="50"/>
      <c r="H373" s="54"/>
      <c r="I373" s="55"/>
    </row>
    <row r="374" spans="1:9" s="4" customFormat="1">
      <c r="A374" s="64"/>
      <c r="B374" s="77"/>
      <c r="C374" s="50"/>
      <c r="D374" s="50"/>
      <c r="E374" s="50"/>
      <c r="F374" s="65"/>
      <c r="G374" s="50"/>
      <c r="H374" s="54"/>
      <c r="I374" s="55"/>
    </row>
    <row r="375" spans="1:9" s="4" customFormat="1">
      <c r="A375" s="64"/>
      <c r="B375" s="77"/>
      <c r="C375" s="50"/>
      <c r="D375" s="50"/>
      <c r="E375" s="50"/>
      <c r="F375" s="65"/>
      <c r="G375" s="50"/>
      <c r="H375" s="54"/>
      <c r="I375" s="55"/>
    </row>
    <row r="376" spans="1:9" s="4" customFormat="1">
      <c r="A376" s="64"/>
      <c r="B376" s="77"/>
      <c r="C376" s="50"/>
      <c r="D376" s="50"/>
      <c r="E376" s="50"/>
      <c r="F376" s="65"/>
      <c r="G376" s="50"/>
      <c r="H376" s="54"/>
      <c r="I376" s="55"/>
    </row>
    <row r="377" spans="1:9" s="4" customFormat="1">
      <c r="A377" s="64"/>
      <c r="B377" s="77"/>
      <c r="C377" s="50"/>
      <c r="D377" s="50"/>
      <c r="E377" s="50"/>
      <c r="F377" s="65"/>
      <c r="G377" s="50"/>
      <c r="H377" s="54"/>
      <c r="I377" s="55"/>
    </row>
    <row r="378" spans="1:9" s="4" customFormat="1">
      <c r="A378" s="64"/>
      <c r="B378" s="77"/>
      <c r="C378" s="50"/>
      <c r="D378" s="50"/>
      <c r="E378" s="50"/>
      <c r="F378" s="65"/>
      <c r="G378" s="50"/>
      <c r="H378" s="54"/>
      <c r="I378" s="55"/>
    </row>
    <row r="379" spans="1:9" s="4" customFormat="1">
      <c r="A379" s="64"/>
      <c r="B379" s="77"/>
      <c r="C379" s="50"/>
      <c r="D379" s="50"/>
      <c r="E379" s="50"/>
      <c r="F379" s="65"/>
      <c r="G379" s="50"/>
      <c r="H379" s="54"/>
      <c r="I379" s="55"/>
    </row>
    <row r="380" spans="1:9" s="4" customFormat="1">
      <c r="A380" s="64"/>
      <c r="B380" s="77"/>
      <c r="C380" s="50"/>
      <c r="D380" s="50"/>
      <c r="E380" s="50"/>
      <c r="F380" s="65"/>
      <c r="G380" s="50"/>
      <c r="H380" s="54"/>
      <c r="I380" s="55"/>
    </row>
    <row r="381" spans="1:9" s="4" customFormat="1">
      <c r="A381" s="64"/>
      <c r="B381" s="77"/>
      <c r="C381" s="50"/>
      <c r="D381" s="50"/>
      <c r="E381" s="50"/>
      <c r="F381" s="65"/>
      <c r="G381" s="50"/>
      <c r="H381" s="54"/>
      <c r="I381" s="55"/>
    </row>
    <row r="382" spans="1:9" s="4" customFormat="1">
      <c r="A382" s="64"/>
      <c r="B382" s="77"/>
      <c r="C382" s="50"/>
      <c r="D382" s="50"/>
      <c r="E382" s="50"/>
      <c r="F382" s="65"/>
      <c r="G382" s="50"/>
      <c r="H382" s="54"/>
      <c r="I382" s="55"/>
    </row>
    <row r="383" spans="1:9" s="4" customFormat="1">
      <c r="A383" s="64"/>
      <c r="B383" s="77"/>
      <c r="C383" s="50"/>
      <c r="D383" s="50"/>
      <c r="E383" s="50"/>
      <c r="F383" s="65"/>
      <c r="G383" s="50"/>
      <c r="H383" s="54"/>
      <c r="I383" s="55"/>
    </row>
    <row r="384" spans="1:9" s="4" customFormat="1">
      <c r="A384" s="64"/>
      <c r="B384" s="77"/>
      <c r="C384" s="50"/>
      <c r="D384" s="50"/>
      <c r="E384" s="50"/>
      <c r="F384" s="65"/>
      <c r="G384" s="50"/>
      <c r="H384" s="54"/>
      <c r="I384" s="55"/>
    </row>
    <row r="385" spans="1:9" s="4" customFormat="1">
      <c r="A385" s="64"/>
      <c r="B385" s="77"/>
      <c r="C385" s="50"/>
      <c r="D385" s="50"/>
      <c r="E385" s="50"/>
      <c r="F385" s="65"/>
      <c r="G385" s="50"/>
      <c r="H385" s="54"/>
      <c r="I385" s="55"/>
    </row>
    <row r="386" spans="1:9" s="4" customFormat="1">
      <c r="A386" s="64"/>
      <c r="B386" s="77"/>
      <c r="C386" s="50"/>
      <c r="D386" s="50"/>
      <c r="E386" s="50"/>
      <c r="F386" s="65"/>
      <c r="G386" s="50"/>
      <c r="H386" s="54"/>
      <c r="I386" s="55"/>
    </row>
    <row r="387" spans="1:9" s="4" customFormat="1">
      <c r="A387" s="64"/>
      <c r="B387" s="77"/>
      <c r="C387" s="50"/>
      <c r="D387" s="50"/>
      <c r="E387" s="50"/>
      <c r="F387" s="65"/>
      <c r="G387" s="50"/>
      <c r="H387" s="54"/>
      <c r="I387" s="55"/>
    </row>
    <row r="388" spans="1:9" s="4" customFormat="1">
      <c r="A388" s="64"/>
      <c r="B388" s="77"/>
      <c r="C388" s="50"/>
      <c r="D388" s="50"/>
      <c r="E388" s="50"/>
      <c r="F388" s="65"/>
      <c r="G388" s="50"/>
      <c r="H388" s="54"/>
      <c r="I388" s="55"/>
    </row>
    <row r="389" spans="1:9" s="4" customFormat="1">
      <c r="A389" s="64"/>
      <c r="B389" s="77"/>
      <c r="C389" s="50"/>
      <c r="D389" s="50"/>
      <c r="E389" s="50"/>
      <c r="F389" s="65"/>
      <c r="G389" s="50"/>
      <c r="H389" s="54"/>
      <c r="I389" s="55"/>
    </row>
    <row r="390" spans="1:9" s="4" customFormat="1">
      <c r="A390" s="64"/>
      <c r="B390" s="77"/>
      <c r="C390" s="50"/>
      <c r="D390" s="50"/>
      <c r="E390" s="50"/>
      <c r="F390" s="65"/>
      <c r="G390" s="50"/>
      <c r="H390" s="54"/>
      <c r="I390" s="55"/>
    </row>
    <row r="391" spans="1:9" s="4" customFormat="1">
      <c r="A391" s="64"/>
      <c r="B391" s="77"/>
      <c r="C391" s="50"/>
      <c r="D391" s="50"/>
      <c r="E391" s="50"/>
      <c r="F391" s="65"/>
      <c r="G391" s="50"/>
      <c r="H391" s="54"/>
      <c r="I391" s="55"/>
    </row>
    <row r="392" spans="1:9" s="4" customFormat="1">
      <c r="A392" s="82"/>
      <c r="B392" s="56"/>
      <c r="C392" s="56"/>
      <c r="D392" s="56"/>
      <c r="E392" s="56"/>
      <c r="F392" s="56"/>
      <c r="G392" s="56"/>
      <c r="H392" s="56"/>
      <c r="I392" s="56"/>
    </row>
    <row r="393" spans="1:9" s="4" customFormat="1">
      <c r="A393" s="36"/>
      <c r="B393" s="50"/>
      <c r="C393" s="50"/>
      <c r="D393" s="50"/>
      <c r="E393" s="50"/>
      <c r="F393" s="36"/>
      <c r="G393" s="36"/>
      <c r="H393" s="36"/>
      <c r="I393" s="36"/>
    </row>
    <row r="394" spans="1:9" s="4" customFormat="1">
      <c r="A394" s="36"/>
      <c r="B394" s="36"/>
      <c r="C394" s="78"/>
      <c r="D394" s="78"/>
      <c r="E394" s="79"/>
      <c r="F394" s="80"/>
      <c r="G394" s="78"/>
      <c r="H394" s="36"/>
      <c r="I394" s="81"/>
    </row>
    <row r="395" spans="1:9" s="4" customFormat="1" ht="12"/>
    <row r="396" spans="1:9" s="4" customFormat="1" ht="20.25">
      <c r="A396" s="66"/>
      <c r="B396" s="67"/>
      <c r="G396" s="57"/>
      <c r="H396" s="57"/>
      <c r="I396" s="57"/>
    </row>
    <row r="397" spans="1:9" s="4" customFormat="1" ht="41.25" customHeight="1">
      <c r="A397" s="618"/>
      <c r="B397" s="668"/>
      <c r="C397" s="668"/>
      <c r="D397" s="181"/>
      <c r="E397" s="57"/>
      <c r="F397" s="57"/>
      <c r="G397" s="57"/>
      <c r="H397" s="57"/>
      <c r="I397" s="57"/>
    </row>
    <row r="398" spans="1:9" s="4" customFormat="1">
      <c r="A398" s="68"/>
      <c r="B398" s="68"/>
      <c r="C398" s="68"/>
      <c r="D398" s="68"/>
      <c r="E398" s="68"/>
      <c r="F398" s="68"/>
      <c r="G398" s="69"/>
      <c r="H398" s="69"/>
      <c r="I398" s="615"/>
    </row>
    <row r="399" spans="1:9" s="4" customFormat="1">
      <c r="A399" s="68"/>
      <c r="B399" s="68"/>
      <c r="C399" s="68"/>
      <c r="D399" s="68"/>
      <c r="E399" s="68"/>
      <c r="F399" s="68"/>
      <c r="G399" s="69"/>
      <c r="H399" s="69"/>
      <c r="I399" s="615"/>
    </row>
    <row r="400" spans="1:9" s="4" customFormat="1">
      <c r="A400" s="36"/>
      <c r="B400" s="36"/>
      <c r="C400" s="36"/>
      <c r="D400" s="36"/>
      <c r="E400" s="36"/>
      <c r="F400" s="36"/>
      <c r="G400" s="36"/>
      <c r="H400" s="50"/>
      <c r="I400" s="36"/>
    </row>
    <row r="401" spans="1:9" s="4" customFormat="1">
      <c r="A401" s="36"/>
      <c r="B401" s="36"/>
      <c r="C401" s="36"/>
      <c r="D401" s="36"/>
      <c r="E401" s="36"/>
      <c r="F401" s="36"/>
      <c r="G401" s="59"/>
      <c r="H401" s="70"/>
      <c r="I401" s="50"/>
    </row>
    <row r="402" spans="1:9" s="4" customFormat="1">
      <c r="A402" s="36"/>
      <c r="B402" s="36"/>
      <c r="C402" s="36"/>
      <c r="D402" s="36"/>
      <c r="E402" s="36"/>
      <c r="F402" s="36"/>
      <c r="G402" s="59"/>
      <c r="H402" s="70"/>
      <c r="I402" s="50"/>
    </row>
    <row r="403" spans="1:9" s="4" customFormat="1">
      <c r="A403" s="36"/>
      <c r="B403" s="36"/>
      <c r="C403" s="36"/>
      <c r="D403" s="36"/>
      <c r="E403" s="36"/>
      <c r="F403" s="36"/>
      <c r="G403" s="60"/>
      <c r="H403" s="70"/>
      <c r="I403" s="50"/>
    </row>
    <row r="404" spans="1:9" s="4" customFormat="1">
      <c r="A404" s="36"/>
      <c r="B404" s="36"/>
      <c r="C404" s="36"/>
      <c r="D404" s="36"/>
      <c r="E404" s="36"/>
      <c r="F404" s="36"/>
      <c r="G404" s="60"/>
      <c r="H404" s="70"/>
      <c r="I404" s="50"/>
    </row>
    <row r="405" spans="1:9" s="4" customFormat="1">
      <c r="A405" s="36"/>
      <c r="B405" s="36"/>
      <c r="C405" s="36"/>
      <c r="D405" s="36"/>
      <c r="E405" s="36"/>
      <c r="F405" s="36"/>
      <c r="G405" s="60"/>
      <c r="H405" s="70"/>
      <c r="I405" s="50"/>
    </row>
    <row r="406" spans="1:9" s="4" customFormat="1">
      <c r="A406" s="36"/>
      <c r="B406" s="36"/>
      <c r="C406" s="36"/>
      <c r="D406" s="36"/>
      <c r="E406" s="36"/>
      <c r="F406" s="36"/>
      <c r="G406" s="60"/>
      <c r="H406" s="70"/>
      <c r="I406" s="50"/>
    </row>
    <row r="407" spans="1:9" s="4" customFormat="1">
      <c r="A407" s="36"/>
      <c r="B407" s="36"/>
      <c r="C407" s="36"/>
      <c r="D407" s="36"/>
      <c r="E407" s="36"/>
      <c r="F407" s="36"/>
      <c r="G407" s="36"/>
      <c r="H407" s="36"/>
      <c r="I407" s="36"/>
    </row>
    <row r="408" spans="1:9" s="4" customFormat="1">
      <c r="A408" s="68"/>
      <c r="B408" s="68"/>
      <c r="C408" s="68"/>
      <c r="D408" s="68"/>
      <c r="E408" s="68"/>
      <c r="F408" s="68"/>
      <c r="G408" s="622"/>
      <c r="H408" s="71"/>
      <c r="I408" s="71"/>
    </row>
    <row r="409" spans="1:9" s="4" customFormat="1">
      <c r="A409" s="68"/>
      <c r="B409" s="68"/>
      <c r="C409" s="68"/>
      <c r="D409" s="68"/>
      <c r="E409" s="68"/>
      <c r="F409" s="68"/>
      <c r="G409" s="622"/>
      <c r="H409" s="71"/>
      <c r="I409" s="71"/>
    </row>
    <row r="410" spans="1:9" s="4" customFormat="1">
      <c r="A410" s="61"/>
      <c r="B410" s="36"/>
      <c r="C410" s="62"/>
      <c r="D410" s="62"/>
      <c r="E410" s="62"/>
      <c r="F410" s="36"/>
      <c r="G410" s="62"/>
      <c r="H410" s="72"/>
      <c r="I410" s="50"/>
    </row>
    <row r="411" spans="1:9" s="4" customFormat="1">
      <c r="A411" s="36"/>
      <c r="B411" s="36"/>
      <c r="C411" s="36"/>
      <c r="D411" s="36"/>
      <c r="E411" s="36"/>
      <c r="F411" s="36"/>
      <c r="G411" s="50"/>
      <c r="H411" s="50"/>
      <c r="I411" s="70"/>
    </row>
    <row r="412" spans="1:9" s="4" customFormat="1">
      <c r="A412" s="36"/>
      <c r="B412" s="36"/>
      <c r="C412" s="36"/>
      <c r="D412" s="36"/>
      <c r="E412" s="36"/>
      <c r="F412" s="36"/>
      <c r="G412" s="70"/>
      <c r="H412" s="50"/>
      <c r="I412" s="50"/>
    </row>
    <row r="413" spans="1:9" s="4" customFormat="1">
      <c r="A413" s="36"/>
      <c r="B413" s="36"/>
      <c r="C413" s="36"/>
      <c r="D413" s="36"/>
      <c r="E413" s="36"/>
      <c r="F413" s="36"/>
      <c r="G413" s="47"/>
      <c r="H413" s="50"/>
      <c r="I413" s="50"/>
    </row>
    <row r="414" spans="1:9" s="4" customFormat="1">
      <c r="A414" s="36"/>
      <c r="B414" s="36"/>
      <c r="C414" s="36"/>
      <c r="D414" s="36"/>
      <c r="E414" s="36"/>
      <c r="F414" s="36"/>
      <c r="G414" s="73"/>
      <c r="H414" s="50"/>
      <c r="I414" s="50"/>
    </row>
    <row r="415" spans="1:9" s="4" customFormat="1">
      <c r="A415" s="36"/>
      <c r="B415" s="36"/>
      <c r="C415" s="36"/>
      <c r="D415" s="36"/>
      <c r="E415" s="36"/>
      <c r="F415" s="50"/>
      <c r="G415" s="36"/>
      <c r="H415" s="36"/>
      <c r="I415" s="36"/>
    </row>
    <row r="416" spans="1:9" s="4" customFormat="1">
      <c r="A416" s="63"/>
      <c r="B416" s="36"/>
      <c r="C416" s="36"/>
      <c r="D416" s="36"/>
      <c r="E416" s="36"/>
      <c r="F416" s="50"/>
      <c r="G416" s="36"/>
      <c r="H416" s="36"/>
      <c r="I416" s="36"/>
    </row>
    <row r="417" spans="1:9" s="4" customFormat="1">
      <c r="A417" s="36"/>
      <c r="B417" s="74"/>
      <c r="C417" s="36"/>
      <c r="D417" s="36"/>
      <c r="E417" s="36"/>
      <c r="F417" s="36"/>
      <c r="G417" s="36"/>
      <c r="H417" s="36"/>
      <c r="I417" s="36"/>
    </row>
    <row r="418" spans="1:9" s="4" customFormat="1">
      <c r="A418" s="619"/>
      <c r="B418" s="182"/>
      <c r="C418" s="182"/>
      <c r="D418" s="182"/>
      <c r="E418" s="619"/>
      <c r="F418" s="619"/>
      <c r="G418" s="619"/>
      <c r="H418" s="619"/>
      <c r="I418" s="619"/>
    </row>
    <row r="419" spans="1:9" s="4" customFormat="1">
      <c r="A419" s="619"/>
      <c r="B419" s="182"/>
      <c r="C419" s="182"/>
      <c r="D419" s="182"/>
      <c r="E419" s="182"/>
      <c r="F419" s="182"/>
      <c r="G419" s="620"/>
      <c r="H419" s="620"/>
      <c r="I419" s="620"/>
    </row>
    <row r="420" spans="1:9" s="4" customFormat="1">
      <c r="A420" s="64"/>
      <c r="B420" s="76"/>
      <c r="C420" s="50"/>
      <c r="D420" s="50"/>
      <c r="E420" s="50"/>
      <c r="F420" s="65"/>
      <c r="G420" s="50"/>
      <c r="H420" s="50"/>
      <c r="I420" s="55"/>
    </row>
    <row r="421" spans="1:9" s="4" customFormat="1">
      <c r="A421" s="64"/>
      <c r="B421" s="76"/>
      <c r="C421" s="50"/>
      <c r="D421" s="50"/>
      <c r="E421" s="50"/>
      <c r="F421" s="65"/>
      <c r="G421" s="50"/>
      <c r="H421" s="54"/>
      <c r="I421" s="55"/>
    </row>
    <row r="422" spans="1:9" s="4" customFormat="1">
      <c r="A422" s="64"/>
      <c r="B422" s="76"/>
      <c r="C422" s="50"/>
      <c r="D422" s="50"/>
      <c r="E422" s="50"/>
      <c r="F422" s="65"/>
      <c r="G422" s="50"/>
      <c r="H422" s="54"/>
      <c r="I422" s="36"/>
    </row>
    <row r="423" spans="1:9" s="4" customFormat="1">
      <c r="A423" s="64"/>
      <c r="B423" s="76"/>
      <c r="C423" s="50"/>
      <c r="D423" s="50"/>
      <c r="E423" s="50"/>
      <c r="F423" s="65"/>
      <c r="G423" s="50"/>
      <c r="H423" s="54"/>
      <c r="I423" s="55"/>
    </row>
    <row r="424" spans="1:9" s="4" customFormat="1">
      <c r="A424" s="64"/>
      <c r="B424" s="77"/>
      <c r="C424" s="50"/>
      <c r="D424" s="50"/>
      <c r="E424" s="50"/>
      <c r="F424" s="65"/>
      <c r="G424" s="50"/>
      <c r="H424" s="54"/>
      <c r="I424" s="55"/>
    </row>
    <row r="425" spans="1:9" s="4" customFormat="1">
      <c r="A425" s="64"/>
      <c r="B425" s="77"/>
      <c r="C425" s="50"/>
      <c r="D425" s="50"/>
      <c r="E425" s="50"/>
      <c r="F425" s="65"/>
      <c r="G425" s="50"/>
      <c r="H425" s="54"/>
      <c r="I425" s="55"/>
    </row>
    <row r="426" spans="1:9" s="4" customFormat="1">
      <c r="A426" s="64"/>
      <c r="B426" s="77"/>
      <c r="C426" s="50"/>
      <c r="D426" s="50"/>
      <c r="E426" s="50"/>
      <c r="F426" s="65"/>
      <c r="G426" s="50"/>
      <c r="H426" s="54"/>
      <c r="I426" s="55"/>
    </row>
    <row r="427" spans="1:9" s="4" customFormat="1">
      <c r="A427" s="64"/>
      <c r="B427" s="77"/>
      <c r="C427" s="50"/>
      <c r="D427" s="50"/>
      <c r="E427" s="50"/>
      <c r="F427" s="65"/>
      <c r="G427" s="50"/>
      <c r="H427" s="54"/>
      <c r="I427" s="55"/>
    </row>
    <row r="428" spans="1:9" s="4" customFormat="1">
      <c r="A428" s="64"/>
      <c r="B428" s="77"/>
      <c r="C428" s="50"/>
      <c r="D428" s="50"/>
      <c r="E428" s="50"/>
      <c r="F428" s="65"/>
      <c r="G428" s="50"/>
      <c r="H428" s="54"/>
      <c r="I428" s="55"/>
    </row>
    <row r="429" spans="1:9" s="4" customFormat="1">
      <c r="A429" s="64"/>
      <c r="B429" s="77"/>
      <c r="C429" s="50"/>
      <c r="D429" s="50"/>
      <c r="E429" s="50"/>
      <c r="F429" s="65"/>
      <c r="G429" s="50"/>
      <c r="H429" s="54"/>
      <c r="I429" s="55"/>
    </row>
    <row r="430" spans="1:9" s="4" customFormat="1">
      <c r="A430" s="64"/>
      <c r="B430" s="77"/>
      <c r="C430" s="50"/>
      <c r="D430" s="50"/>
      <c r="E430" s="50"/>
      <c r="F430" s="65"/>
      <c r="G430" s="50"/>
      <c r="H430" s="54"/>
      <c r="I430" s="55"/>
    </row>
    <row r="431" spans="1:9" s="4" customFormat="1">
      <c r="A431" s="64"/>
      <c r="B431" s="77"/>
      <c r="C431" s="50"/>
      <c r="D431" s="50"/>
      <c r="E431" s="50"/>
      <c r="F431" s="65"/>
      <c r="G431" s="50"/>
      <c r="H431" s="54"/>
      <c r="I431" s="55"/>
    </row>
    <row r="432" spans="1:9" s="4" customFormat="1">
      <c r="A432" s="64"/>
      <c r="B432" s="77"/>
      <c r="C432" s="50"/>
      <c r="D432" s="50"/>
      <c r="E432" s="50"/>
      <c r="F432" s="65"/>
      <c r="G432" s="50"/>
      <c r="H432" s="54"/>
      <c r="I432" s="55"/>
    </row>
    <row r="433" spans="1:9" s="4" customFormat="1">
      <c r="A433" s="64"/>
      <c r="B433" s="77"/>
      <c r="C433" s="50"/>
      <c r="D433" s="50"/>
      <c r="E433" s="50"/>
      <c r="F433" s="65"/>
      <c r="G433" s="50"/>
      <c r="H433" s="54"/>
      <c r="I433" s="55"/>
    </row>
    <row r="434" spans="1:9" s="4" customFormat="1">
      <c r="A434" s="64"/>
      <c r="B434" s="77"/>
      <c r="C434" s="50"/>
      <c r="D434" s="50"/>
      <c r="E434" s="50"/>
      <c r="F434" s="65"/>
      <c r="G434" s="50"/>
      <c r="H434" s="54"/>
      <c r="I434" s="55"/>
    </row>
    <row r="435" spans="1:9" s="4" customFormat="1">
      <c r="A435" s="64"/>
      <c r="B435" s="77"/>
      <c r="C435" s="50"/>
      <c r="D435" s="50"/>
      <c r="E435" s="50"/>
      <c r="F435" s="65"/>
      <c r="G435" s="50"/>
      <c r="H435" s="54"/>
      <c r="I435" s="55"/>
    </row>
    <row r="436" spans="1:9" s="4" customFormat="1">
      <c r="A436" s="64"/>
      <c r="B436" s="77"/>
      <c r="C436" s="50"/>
      <c r="D436" s="50"/>
      <c r="E436" s="50"/>
      <c r="F436" s="65"/>
      <c r="G436" s="50"/>
      <c r="H436" s="54"/>
      <c r="I436" s="55"/>
    </row>
    <row r="437" spans="1:9" s="4" customFormat="1">
      <c r="A437" s="64"/>
      <c r="B437" s="77"/>
      <c r="C437" s="50"/>
      <c r="D437" s="50"/>
      <c r="E437" s="50"/>
      <c r="F437" s="65"/>
      <c r="G437" s="50"/>
      <c r="H437" s="54"/>
      <c r="I437" s="55"/>
    </row>
    <row r="438" spans="1:9" s="4" customFormat="1">
      <c r="A438" s="64"/>
      <c r="B438" s="77"/>
      <c r="C438" s="50"/>
      <c r="D438" s="50"/>
      <c r="E438" s="50"/>
      <c r="F438" s="65"/>
      <c r="G438" s="50"/>
      <c r="H438" s="54"/>
      <c r="I438" s="55"/>
    </row>
    <row r="439" spans="1:9" s="4" customFormat="1">
      <c r="A439" s="64"/>
      <c r="B439" s="77"/>
      <c r="C439" s="50"/>
      <c r="D439" s="50"/>
      <c r="E439" s="50"/>
      <c r="F439" s="65"/>
      <c r="G439" s="50"/>
      <c r="H439" s="54"/>
      <c r="I439" s="55"/>
    </row>
    <row r="440" spans="1:9" s="4" customFormat="1">
      <c r="A440" s="64"/>
      <c r="B440" s="77"/>
      <c r="C440" s="50"/>
      <c r="D440" s="50"/>
      <c r="E440" s="50"/>
      <c r="F440" s="65"/>
      <c r="G440" s="50"/>
      <c r="H440" s="54"/>
      <c r="I440" s="55"/>
    </row>
    <row r="441" spans="1:9" s="4" customFormat="1">
      <c r="A441" s="64"/>
      <c r="B441" s="77"/>
      <c r="C441" s="50"/>
      <c r="D441" s="50"/>
      <c r="E441" s="50"/>
      <c r="F441" s="65"/>
      <c r="G441" s="50"/>
      <c r="H441" s="54"/>
      <c r="I441" s="55"/>
    </row>
    <row r="442" spans="1:9" s="4" customFormat="1">
      <c r="A442" s="64"/>
      <c r="B442" s="77"/>
      <c r="C442" s="50"/>
      <c r="D442" s="50"/>
      <c r="E442" s="50"/>
      <c r="F442" s="65"/>
      <c r="G442" s="50"/>
      <c r="H442" s="54"/>
      <c r="I442" s="55"/>
    </row>
    <row r="443" spans="1:9" s="4" customFormat="1">
      <c r="A443" s="64"/>
      <c r="B443" s="77"/>
      <c r="C443" s="50"/>
      <c r="D443" s="50"/>
      <c r="E443" s="50"/>
      <c r="F443" s="65"/>
      <c r="G443" s="50"/>
      <c r="H443" s="54"/>
      <c r="I443" s="55"/>
    </row>
    <row r="444" spans="1:9" s="4" customFormat="1">
      <c r="A444" s="64"/>
      <c r="B444" s="77"/>
      <c r="C444" s="50"/>
      <c r="D444" s="50"/>
      <c r="E444" s="50"/>
      <c r="F444" s="65"/>
      <c r="G444" s="50"/>
      <c r="H444" s="54"/>
      <c r="I444" s="55"/>
    </row>
    <row r="445" spans="1:9" s="4" customFormat="1">
      <c r="A445" s="82"/>
      <c r="B445" s="56"/>
      <c r="C445" s="56"/>
      <c r="D445" s="56"/>
      <c r="E445" s="56"/>
      <c r="F445" s="56"/>
      <c r="G445" s="56"/>
      <c r="H445" s="56"/>
      <c r="I445" s="56"/>
    </row>
    <row r="446" spans="1:9" s="4" customFormat="1">
      <c r="A446" s="36"/>
      <c r="B446" s="50"/>
      <c r="C446" s="50"/>
      <c r="D446" s="50"/>
      <c r="E446" s="50"/>
      <c r="F446" s="36"/>
      <c r="G446" s="36"/>
      <c r="H446" s="36"/>
      <c r="I446" s="36"/>
    </row>
    <row r="447" spans="1:9" s="4" customFormat="1">
      <c r="A447" s="36"/>
      <c r="B447" s="36"/>
      <c r="C447" s="78"/>
      <c r="D447" s="78"/>
      <c r="E447" s="79"/>
      <c r="F447" s="80"/>
      <c r="G447" s="78"/>
      <c r="H447" s="36"/>
      <c r="I447" s="81"/>
    </row>
    <row r="448" spans="1:9" s="4" customFormat="1" ht="12"/>
    <row r="449" spans="1:9" s="4" customFormat="1" ht="20.25">
      <c r="A449" s="66"/>
      <c r="B449" s="67"/>
      <c r="G449" s="57"/>
      <c r="H449" s="57"/>
      <c r="I449" s="57"/>
    </row>
    <row r="450" spans="1:9" s="4" customFormat="1" ht="20.25">
      <c r="A450" s="57"/>
      <c r="B450" s="57"/>
      <c r="C450" s="57"/>
      <c r="D450" s="57"/>
      <c r="E450" s="57"/>
      <c r="F450" s="57"/>
      <c r="G450" s="57"/>
      <c r="H450" s="57"/>
      <c r="I450" s="57"/>
    </row>
    <row r="451" spans="1:9" s="4" customFormat="1" ht="20.25">
      <c r="A451" s="618"/>
      <c r="B451" s="668"/>
      <c r="C451" s="668"/>
      <c r="D451" s="181"/>
      <c r="E451" s="57"/>
      <c r="F451" s="57"/>
      <c r="G451" s="57"/>
      <c r="H451" s="57"/>
      <c r="I451" s="57"/>
    </row>
    <row r="452" spans="1:9" s="4" customFormat="1">
      <c r="A452" s="68"/>
      <c r="B452" s="68"/>
      <c r="C452" s="68"/>
      <c r="D452" s="68"/>
      <c r="E452" s="68"/>
      <c r="F452" s="68"/>
      <c r="G452" s="69"/>
      <c r="H452" s="69"/>
      <c r="I452" s="615"/>
    </row>
    <row r="453" spans="1:9" s="4" customFormat="1">
      <c r="A453" s="68"/>
      <c r="B453" s="68"/>
      <c r="C453" s="68"/>
      <c r="D453" s="68"/>
      <c r="E453" s="68"/>
      <c r="F453" s="68"/>
      <c r="G453" s="69"/>
      <c r="H453" s="69"/>
      <c r="I453" s="615"/>
    </row>
    <row r="454" spans="1:9" s="4" customFormat="1">
      <c r="A454" s="36"/>
      <c r="B454" s="36"/>
      <c r="C454" s="36"/>
      <c r="D454" s="36"/>
      <c r="E454" s="36"/>
      <c r="F454" s="36"/>
      <c r="G454" s="36"/>
      <c r="H454" s="50"/>
      <c r="I454" s="36"/>
    </row>
    <row r="455" spans="1:9" s="4" customFormat="1">
      <c r="A455" s="36"/>
      <c r="B455" s="36"/>
      <c r="C455" s="36"/>
      <c r="D455" s="36"/>
      <c r="E455" s="36"/>
      <c r="F455" s="36"/>
      <c r="G455" s="58"/>
      <c r="H455" s="70"/>
      <c r="I455" s="50"/>
    </row>
    <row r="456" spans="1:9" s="4" customFormat="1">
      <c r="A456" s="36"/>
      <c r="B456" s="36"/>
      <c r="C456" s="36"/>
      <c r="D456" s="36"/>
      <c r="E456" s="36"/>
      <c r="F456" s="36"/>
      <c r="G456" s="59"/>
      <c r="H456" s="70"/>
      <c r="I456" s="50"/>
    </row>
    <row r="457" spans="1:9" s="4" customFormat="1">
      <c r="A457" s="36"/>
      <c r="B457" s="36"/>
      <c r="C457" s="36"/>
      <c r="D457" s="36"/>
      <c r="E457" s="36"/>
      <c r="F457" s="36"/>
      <c r="G457" s="60"/>
      <c r="H457" s="70"/>
      <c r="I457" s="50"/>
    </row>
    <row r="458" spans="1:9" s="4" customFormat="1">
      <c r="A458" s="36"/>
      <c r="B458" s="36"/>
      <c r="C458" s="36"/>
      <c r="D458" s="36"/>
      <c r="E458" s="36"/>
      <c r="F458" s="36"/>
      <c r="G458" s="60"/>
      <c r="H458" s="70"/>
      <c r="I458" s="50"/>
    </row>
    <row r="459" spans="1:9" s="4" customFormat="1">
      <c r="A459" s="36"/>
      <c r="B459" s="36"/>
      <c r="C459" s="36"/>
      <c r="D459" s="36"/>
      <c r="E459" s="36"/>
      <c r="F459" s="36"/>
      <c r="G459" s="60"/>
      <c r="H459" s="70"/>
      <c r="I459" s="50"/>
    </row>
    <row r="460" spans="1:9" s="4" customFormat="1">
      <c r="A460" s="36"/>
      <c r="B460" s="36"/>
      <c r="C460" s="36"/>
      <c r="D460" s="36"/>
      <c r="E460" s="36"/>
      <c r="F460" s="36"/>
      <c r="G460" s="60"/>
      <c r="H460" s="70"/>
      <c r="I460" s="50"/>
    </row>
    <row r="461" spans="1:9" s="4" customFormat="1">
      <c r="A461" s="36"/>
      <c r="B461" s="36"/>
      <c r="C461" s="36"/>
      <c r="D461" s="36"/>
      <c r="E461" s="36"/>
      <c r="F461" s="36"/>
      <c r="G461" s="36"/>
      <c r="H461" s="36"/>
      <c r="I461" s="36"/>
    </row>
    <row r="462" spans="1:9" s="4" customFormat="1">
      <c r="A462" s="68"/>
      <c r="B462" s="68"/>
      <c r="C462" s="68"/>
      <c r="D462" s="68"/>
      <c r="E462" s="68"/>
      <c r="F462" s="68"/>
      <c r="G462" s="622"/>
      <c r="H462" s="71"/>
      <c r="I462" s="71"/>
    </row>
    <row r="463" spans="1:9" s="4" customFormat="1">
      <c r="A463" s="68"/>
      <c r="B463" s="68"/>
      <c r="C463" s="68"/>
      <c r="D463" s="68"/>
      <c r="E463" s="68"/>
      <c r="F463" s="68"/>
      <c r="G463" s="622"/>
      <c r="H463" s="71"/>
      <c r="I463" s="71"/>
    </row>
    <row r="464" spans="1:9" s="4" customFormat="1">
      <c r="A464" s="61"/>
      <c r="B464" s="36"/>
      <c r="C464" s="62"/>
      <c r="D464" s="62"/>
      <c r="E464" s="62"/>
      <c r="F464" s="36"/>
      <c r="G464" s="62"/>
      <c r="H464" s="72"/>
      <c r="I464" s="50"/>
    </row>
    <row r="465" spans="1:9" s="4" customFormat="1">
      <c r="A465" s="36"/>
      <c r="B465" s="36"/>
      <c r="C465" s="36"/>
      <c r="D465" s="36"/>
      <c r="E465" s="36"/>
      <c r="F465" s="36"/>
      <c r="G465" s="50"/>
      <c r="H465" s="50"/>
      <c r="I465" s="70"/>
    </row>
    <row r="466" spans="1:9" s="4" customFormat="1">
      <c r="A466" s="36"/>
      <c r="B466" s="36"/>
      <c r="C466" s="36"/>
      <c r="D466" s="36"/>
      <c r="E466" s="36"/>
      <c r="F466" s="36"/>
      <c r="G466" s="70"/>
      <c r="H466" s="50"/>
      <c r="I466" s="50"/>
    </row>
    <row r="467" spans="1:9" s="4" customFormat="1">
      <c r="A467" s="36"/>
      <c r="B467" s="36"/>
      <c r="C467" s="36"/>
      <c r="D467" s="36"/>
      <c r="E467" s="36"/>
      <c r="F467" s="36"/>
      <c r="G467" s="47"/>
      <c r="H467" s="50"/>
      <c r="I467" s="50"/>
    </row>
    <row r="468" spans="1:9" s="4" customFormat="1">
      <c r="A468" s="36"/>
      <c r="B468" s="36"/>
      <c r="C468" s="36"/>
      <c r="D468" s="36"/>
      <c r="E468" s="36"/>
      <c r="F468" s="36"/>
      <c r="G468" s="73"/>
      <c r="H468" s="50"/>
      <c r="I468" s="50"/>
    </row>
    <row r="469" spans="1:9" s="4" customFormat="1">
      <c r="A469" s="36"/>
      <c r="B469" s="36"/>
      <c r="C469" s="36"/>
      <c r="D469" s="36"/>
      <c r="E469" s="36"/>
      <c r="F469" s="50"/>
      <c r="G469" s="36"/>
      <c r="H469" s="36"/>
      <c r="I469" s="36"/>
    </row>
    <row r="470" spans="1:9" s="4" customFormat="1">
      <c r="A470" s="63"/>
      <c r="B470" s="36"/>
      <c r="C470" s="36"/>
      <c r="D470" s="36"/>
      <c r="E470" s="36"/>
      <c r="F470" s="50"/>
      <c r="G470" s="36"/>
      <c r="H470" s="36"/>
      <c r="I470" s="36"/>
    </row>
    <row r="471" spans="1:9" s="4" customFormat="1">
      <c r="A471" s="36"/>
      <c r="B471" s="74"/>
      <c r="C471" s="36"/>
      <c r="D471" s="36"/>
      <c r="E471" s="36"/>
      <c r="F471" s="36"/>
      <c r="G471" s="36"/>
      <c r="H471" s="36"/>
      <c r="I471" s="36"/>
    </row>
    <row r="472" spans="1:9" s="4" customFormat="1">
      <c r="A472" s="619"/>
      <c r="B472" s="182"/>
      <c r="C472" s="182"/>
      <c r="D472" s="182"/>
      <c r="E472" s="619"/>
      <c r="F472" s="619"/>
      <c r="G472" s="619"/>
      <c r="H472" s="619"/>
      <c r="I472" s="619"/>
    </row>
    <row r="473" spans="1:9" s="4" customFormat="1">
      <c r="A473" s="619"/>
      <c r="B473" s="182"/>
      <c r="C473" s="182"/>
      <c r="D473" s="182"/>
      <c r="E473" s="182"/>
      <c r="F473" s="182"/>
      <c r="G473" s="620"/>
      <c r="H473" s="620"/>
      <c r="I473" s="620"/>
    </row>
    <row r="474" spans="1:9" s="4" customFormat="1">
      <c r="A474" s="64"/>
      <c r="B474" s="76"/>
      <c r="C474" s="50"/>
      <c r="D474" s="50"/>
      <c r="E474" s="50"/>
      <c r="F474" s="65"/>
      <c r="G474" s="50"/>
      <c r="H474" s="50"/>
      <c r="I474" s="55"/>
    </row>
    <row r="475" spans="1:9" s="4" customFormat="1">
      <c r="A475" s="64"/>
      <c r="B475" s="76"/>
      <c r="C475" s="50"/>
      <c r="D475" s="50"/>
      <c r="E475" s="50"/>
      <c r="F475" s="65"/>
      <c r="G475" s="50"/>
      <c r="H475" s="54"/>
      <c r="I475" s="55"/>
    </row>
    <row r="476" spans="1:9" s="4" customFormat="1">
      <c r="A476" s="64"/>
      <c r="B476" s="76"/>
      <c r="C476" s="50"/>
      <c r="D476" s="50"/>
      <c r="E476" s="50"/>
      <c r="F476" s="65"/>
      <c r="G476" s="50"/>
      <c r="H476" s="54"/>
      <c r="I476" s="36"/>
    </row>
    <row r="477" spans="1:9" s="4" customFormat="1">
      <c r="A477" s="64"/>
      <c r="B477" s="76"/>
      <c r="C477" s="50"/>
      <c r="D477" s="50"/>
      <c r="E477" s="50"/>
      <c r="F477" s="65"/>
      <c r="G477" s="50"/>
      <c r="H477" s="54"/>
      <c r="I477" s="55"/>
    </row>
    <row r="478" spans="1:9" s="4" customFormat="1">
      <c r="A478" s="64"/>
      <c r="B478" s="77"/>
      <c r="C478" s="50"/>
      <c r="D478" s="50"/>
      <c r="E478" s="50"/>
      <c r="F478" s="65"/>
      <c r="G478" s="50"/>
      <c r="H478" s="54"/>
      <c r="I478" s="55"/>
    </row>
    <row r="479" spans="1:9" s="4" customFormat="1">
      <c r="A479" s="64"/>
      <c r="B479" s="77"/>
      <c r="C479" s="50"/>
      <c r="D479" s="50"/>
      <c r="E479" s="50"/>
      <c r="F479" s="65"/>
      <c r="G479" s="50"/>
      <c r="H479" s="54"/>
      <c r="I479" s="55"/>
    </row>
    <row r="480" spans="1:9" s="4" customFormat="1">
      <c r="A480" s="64"/>
      <c r="B480" s="77"/>
      <c r="C480" s="50"/>
      <c r="D480" s="50"/>
      <c r="E480" s="50"/>
      <c r="F480" s="65"/>
      <c r="G480" s="50"/>
      <c r="H480" s="54"/>
      <c r="I480" s="55"/>
    </row>
    <row r="481" spans="1:9" s="4" customFormat="1">
      <c r="A481" s="64"/>
      <c r="B481" s="77"/>
      <c r="C481" s="50"/>
      <c r="D481" s="50"/>
      <c r="E481" s="50"/>
      <c r="F481" s="65"/>
      <c r="G481" s="50"/>
      <c r="H481" s="54"/>
      <c r="I481" s="55"/>
    </row>
    <row r="482" spans="1:9" s="4" customFormat="1">
      <c r="A482" s="64"/>
      <c r="B482" s="77"/>
      <c r="C482" s="50"/>
      <c r="D482" s="50"/>
      <c r="E482" s="50"/>
      <c r="F482" s="65"/>
      <c r="G482" s="50"/>
      <c r="H482" s="54"/>
      <c r="I482" s="55"/>
    </row>
    <row r="483" spans="1:9" s="4" customFormat="1">
      <c r="A483" s="64"/>
      <c r="B483" s="77"/>
      <c r="C483" s="50"/>
      <c r="D483" s="50"/>
      <c r="E483" s="50"/>
      <c r="F483" s="65"/>
      <c r="G483" s="50"/>
      <c r="H483" s="54"/>
      <c r="I483" s="55"/>
    </row>
    <row r="484" spans="1:9" s="4" customFormat="1">
      <c r="A484" s="64"/>
      <c r="B484" s="77"/>
      <c r="C484" s="50"/>
      <c r="D484" s="50"/>
      <c r="E484" s="50"/>
      <c r="F484" s="65"/>
      <c r="G484" s="50"/>
      <c r="H484" s="54"/>
      <c r="I484" s="55"/>
    </row>
    <row r="485" spans="1:9" s="4" customFormat="1">
      <c r="A485" s="64"/>
      <c r="B485" s="77"/>
      <c r="C485" s="50"/>
      <c r="D485" s="50"/>
      <c r="E485" s="50"/>
      <c r="F485" s="65"/>
      <c r="G485" s="50"/>
      <c r="H485" s="54"/>
      <c r="I485" s="55"/>
    </row>
    <row r="486" spans="1:9" s="4" customFormat="1">
      <c r="A486" s="64"/>
      <c r="B486" s="77"/>
      <c r="C486" s="50"/>
      <c r="D486" s="50"/>
      <c r="E486" s="50"/>
      <c r="F486" s="65"/>
      <c r="G486" s="50"/>
      <c r="H486" s="54"/>
      <c r="I486" s="55"/>
    </row>
    <row r="487" spans="1:9" s="4" customFormat="1">
      <c r="A487" s="64"/>
      <c r="B487" s="77"/>
      <c r="C487" s="50"/>
      <c r="D487" s="50"/>
      <c r="E487" s="50"/>
      <c r="F487" s="65"/>
      <c r="G487" s="50"/>
      <c r="H487" s="54"/>
      <c r="I487" s="55"/>
    </row>
    <row r="488" spans="1:9" s="4" customFormat="1">
      <c r="A488" s="64"/>
      <c r="B488" s="77"/>
      <c r="C488" s="50"/>
      <c r="D488" s="50"/>
      <c r="E488" s="50"/>
      <c r="F488" s="65"/>
      <c r="G488" s="50"/>
      <c r="H488" s="54"/>
      <c r="I488" s="55"/>
    </row>
    <row r="489" spans="1:9" s="4" customFormat="1">
      <c r="A489" s="64"/>
      <c r="B489" s="77"/>
      <c r="C489" s="50"/>
      <c r="D489" s="50"/>
      <c r="E489" s="50"/>
      <c r="F489" s="65"/>
      <c r="G489" s="50"/>
      <c r="H489" s="54"/>
      <c r="I489" s="55"/>
    </row>
    <row r="490" spans="1:9" s="4" customFormat="1">
      <c r="A490" s="64"/>
      <c r="B490" s="77"/>
      <c r="C490" s="50"/>
      <c r="D490" s="50"/>
      <c r="E490" s="50"/>
      <c r="F490" s="65"/>
      <c r="G490" s="50"/>
      <c r="H490" s="54"/>
      <c r="I490" s="55"/>
    </row>
    <row r="491" spans="1:9" s="4" customFormat="1">
      <c r="A491" s="64"/>
      <c r="B491" s="77"/>
      <c r="C491" s="50"/>
      <c r="D491" s="50"/>
      <c r="E491" s="50"/>
      <c r="F491" s="65"/>
      <c r="G491" s="50"/>
      <c r="H491" s="54"/>
      <c r="I491" s="55"/>
    </row>
    <row r="492" spans="1:9" s="4" customFormat="1">
      <c r="A492" s="64"/>
      <c r="B492" s="77"/>
      <c r="C492" s="50"/>
      <c r="D492" s="50"/>
      <c r="E492" s="50"/>
      <c r="F492" s="65"/>
      <c r="G492" s="50"/>
      <c r="H492" s="54"/>
      <c r="I492" s="55"/>
    </row>
    <row r="493" spans="1:9" s="4" customFormat="1">
      <c r="A493" s="64"/>
      <c r="B493" s="77"/>
      <c r="C493" s="50"/>
      <c r="D493" s="50"/>
      <c r="E493" s="50"/>
      <c r="F493" s="65"/>
      <c r="G493" s="50"/>
      <c r="H493" s="54"/>
      <c r="I493" s="55"/>
    </row>
    <row r="494" spans="1:9" s="4" customFormat="1">
      <c r="A494" s="64"/>
      <c r="B494" s="77"/>
      <c r="C494" s="50"/>
      <c r="D494" s="50"/>
      <c r="E494" s="50"/>
      <c r="F494" s="65"/>
      <c r="G494" s="50"/>
      <c r="H494" s="54"/>
      <c r="I494" s="55"/>
    </row>
    <row r="495" spans="1:9" s="4" customFormat="1">
      <c r="A495" s="64"/>
      <c r="B495" s="77"/>
      <c r="C495" s="50"/>
      <c r="D495" s="50"/>
      <c r="E495" s="50"/>
      <c r="F495" s="65"/>
      <c r="G495" s="50"/>
      <c r="H495" s="54"/>
      <c r="I495" s="55"/>
    </row>
    <row r="496" spans="1:9" s="4" customFormat="1">
      <c r="A496" s="64"/>
      <c r="B496" s="77"/>
      <c r="C496" s="50"/>
      <c r="D496" s="50"/>
      <c r="E496" s="50"/>
      <c r="F496" s="65"/>
      <c r="G496" s="50"/>
      <c r="H496" s="54"/>
      <c r="I496" s="55"/>
    </row>
    <row r="497" spans="1:9" s="4" customFormat="1">
      <c r="A497" s="64"/>
      <c r="B497" s="77"/>
      <c r="C497" s="50"/>
      <c r="D497" s="50"/>
      <c r="E497" s="50"/>
      <c r="F497" s="65"/>
      <c r="G497" s="50"/>
      <c r="H497" s="54"/>
      <c r="I497" s="55"/>
    </row>
    <row r="498" spans="1:9" s="4" customFormat="1">
      <c r="A498" s="64"/>
      <c r="B498" s="77"/>
      <c r="C498" s="50"/>
      <c r="D498" s="50"/>
      <c r="E498" s="50"/>
      <c r="F498" s="65"/>
      <c r="G498" s="50"/>
      <c r="H498" s="54"/>
      <c r="I498" s="55"/>
    </row>
    <row r="499" spans="1:9" s="4" customFormat="1">
      <c r="A499" s="82"/>
      <c r="B499" s="56"/>
      <c r="C499" s="56"/>
      <c r="D499" s="56"/>
      <c r="E499" s="56"/>
      <c r="F499" s="56"/>
      <c r="G499" s="56"/>
      <c r="H499" s="56"/>
      <c r="I499" s="56"/>
    </row>
    <row r="500" spans="1:9" s="4" customFormat="1">
      <c r="A500" s="36"/>
      <c r="B500" s="50"/>
      <c r="C500" s="50"/>
      <c r="D500" s="50"/>
      <c r="E500" s="50"/>
      <c r="F500" s="36"/>
      <c r="G500" s="36"/>
      <c r="H500" s="36"/>
      <c r="I500" s="36"/>
    </row>
    <row r="501" spans="1:9" s="4" customFormat="1">
      <c r="A501" s="36"/>
      <c r="B501" s="36"/>
      <c r="C501" s="78"/>
      <c r="D501" s="78"/>
      <c r="E501" s="79"/>
      <c r="F501" s="80"/>
      <c r="G501" s="78"/>
      <c r="H501" s="36"/>
      <c r="I501" s="81"/>
    </row>
    <row r="502" spans="1:9" s="4" customFormat="1" ht="12"/>
    <row r="503" spans="1:9" s="4" customFormat="1" ht="20.25">
      <c r="A503" s="66"/>
      <c r="B503" s="67"/>
      <c r="G503" s="57"/>
      <c r="H503" s="57"/>
      <c r="I503" s="57"/>
    </row>
    <row r="504" spans="1:9" s="4" customFormat="1" ht="20.25">
      <c r="A504" s="57"/>
      <c r="B504" s="57"/>
      <c r="C504" s="57"/>
      <c r="D504" s="57"/>
      <c r="E504" s="57"/>
      <c r="F504" s="57"/>
      <c r="G504" s="57"/>
      <c r="H504" s="57"/>
      <c r="I504" s="57"/>
    </row>
    <row r="505" spans="1:9" s="4" customFormat="1" ht="20.25">
      <c r="A505" s="618"/>
      <c r="B505" s="668"/>
      <c r="C505" s="668"/>
      <c r="D505" s="181"/>
      <c r="E505" s="57"/>
      <c r="F505" s="57"/>
      <c r="G505" s="57"/>
      <c r="H505" s="57"/>
      <c r="I505" s="57"/>
    </row>
    <row r="506" spans="1:9" s="4" customFormat="1">
      <c r="A506" s="68"/>
      <c r="B506" s="68"/>
      <c r="C506" s="68"/>
      <c r="D506" s="68"/>
      <c r="E506" s="68"/>
      <c r="F506" s="68"/>
      <c r="G506" s="69"/>
      <c r="H506" s="69"/>
      <c r="I506" s="615"/>
    </row>
    <row r="507" spans="1:9" s="4" customFormat="1">
      <c r="A507" s="68"/>
      <c r="B507" s="68"/>
      <c r="C507" s="68"/>
      <c r="D507" s="68"/>
      <c r="E507" s="68"/>
      <c r="F507" s="68"/>
      <c r="G507" s="69"/>
      <c r="H507" s="69"/>
      <c r="I507" s="615"/>
    </row>
    <row r="508" spans="1:9" s="4" customFormat="1">
      <c r="A508" s="36"/>
      <c r="B508" s="36"/>
      <c r="C508" s="36"/>
      <c r="D508" s="36"/>
      <c r="E508" s="36"/>
      <c r="F508" s="36"/>
      <c r="G508" s="36"/>
      <c r="H508" s="50"/>
      <c r="I508" s="36"/>
    </row>
    <row r="509" spans="1:9" s="4" customFormat="1">
      <c r="A509" s="36"/>
      <c r="B509" s="36"/>
      <c r="C509" s="36"/>
      <c r="D509" s="36"/>
      <c r="E509" s="36"/>
      <c r="F509" s="36"/>
      <c r="G509" s="58"/>
      <c r="H509" s="70"/>
      <c r="I509" s="50"/>
    </row>
    <row r="510" spans="1:9" s="4" customFormat="1">
      <c r="A510" s="36"/>
      <c r="B510" s="36"/>
      <c r="C510" s="36"/>
      <c r="D510" s="36"/>
      <c r="E510" s="36"/>
      <c r="F510" s="36"/>
      <c r="G510" s="59"/>
      <c r="H510" s="70"/>
      <c r="I510" s="50"/>
    </row>
    <row r="511" spans="1:9" s="4" customFormat="1">
      <c r="A511" s="36"/>
      <c r="B511" s="36"/>
      <c r="C511" s="36"/>
      <c r="D511" s="36"/>
      <c r="E511" s="36"/>
      <c r="F511" s="36"/>
      <c r="G511" s="60"/>
      <c r="H511" s="70"/>
      <c r="I511" s="50"/>
    </row>
    <row r="512" spans="1:9" s="4" customFormat="1">
      <c r="A512" s="36"/>
      <c r="B512" s="36"/>
      <c r="C512" s="36"/>
      <c r="D512" s="36"/>
      <c r="E512" s="36"/>
      <c r="F512" s="36"/>
      <c r="G512" s="60"/>
      <c r="H512" s="70"/>
      <c r="I512" s="50"/>
    </row>
    <row r="513" spans="1:9" s="4" customFormat="1">
      <c r="A513" s="36"/>
      <c r="B513" s="36"/>
      <c r="C513" s="36"/>
      <c r="D513" s="36"/>
      <c r="E513" s="36"/>
      <c r="F513" s="36"/>
      <c r="G513" s="60"/>
      <c r="H513" s="70"/>
      <c r="I513" s="50"/>
    </row>
    <row r="514" spans="1:9" s="4" customFormat="1">
      <c r="A514" s="36"/>
      <c r="B514" s="36"/>
      <c r="C514" s="36"/>
      <c r="D514" s="36"/>
      <c r="E514" s="36"/>
      <c r="F514" s="36"/>
      <c r="G514" s="60"/>
      <c r="H514" s="70"/>
      <c r="I514" s="50"/>
    </row>
    <row r="515" spans="1:9" s="4" customFormat="1">
      <c r="A515" s="36"/>
      <c r="B515" s="36"/>
      <c r="C515" s="36"/>
      <c r="D515" s="36"/>
      <c r="E515" s="36"/>
      <c r="F515" s="36"/>
      <c r="G515" s="36"/>
      <c r="H515" s="36"/>
      <c r="I515" s="36"/>
    </row>
    <row r="516" spans="1:9" s="4" customFormat="1">
      <c r="A516" s="68"/>
      <c r="B516" s="68"/>
      <c r="C516" s="68"/>
      <c r="D516" s="68"/>
      <c r="E516" s="68"/>
      <c r="F516" s="68"/>
      <c r="G516" s="622"/>
      <c r="H516" s="71"/>
      <c r="I516" s="71"/>
    </row>
    <row r="517" spans="1:9" s="4" customFormat="1">
      <c r="A517" s="68"/>
      <c r="B517" s="68"/>
      <c r="C517" s="68"/>
      <c r="D517" s="68"/>
      <c r="E517" s="68"/>
      <c r="F517" s="68"/>
      <c r="G517" s="622"/>
      <c r="H517" s="71"/>
      <c r="I517" s="71"/>
    </row>
    <row r="518" spans="1:9" s="4" customFormat="1">
      <c r="A518" s="61"/>
      <c r="B518" s="36"/>
      <c r="C518" s="62"/>
      <c r="D518" s="62"/>
      <c r="E518" s="62"/>
      <c r="F518" s="36"/>
      <c r="G518" s="62"/>
      <c r="H518" s="72"/>
      <c r="I518" s="50"/>
    </row>
    <row r="519" spans="1:9" s="4" customFormat="1">
      <c r="A519" s="36"/>
      <c r="B519" s="36"/>
      <c r="C519" s="36"/>
      <c r="D519" s="36"/>
      <c r="E519" s="36"/>
      <c r="F519" s="36"/>
      <c r="G519" s="50"/>
      <c r="H519" s="50"/>
      <c r="I519" s="70"/>
    </row>
    <row r="520" spans="1:9" s="4" customFormat="1">
      <c r="A520" s="36"/>
      <c r="B520" s="36"/>
      <c r="C520" s="36"/>
      <c r="D520" s="36"/>
      <c r="E520" s="36"/>
      <c r="F520" s="36"/>
      <c r="G520" s="70"/>
      <c r="H520" s="50"/>
      <c r="I520" s="50"/>
    </row>
    <row r="521" spans="1:9" s="4" customFormat="1">
      <c r="A521" s="36"/>
      <c r="B521" s="36"/>
      <c r="C521" s="36"/>
      <c r="D521" s="36"/>
      <c r="E521" s="36"/>
      <c r="F521" s="36"/>
      <c r="G521" s="47"/>
      <c r="H521" s="50"/>
      <c r="I521" s="50"/>
    </row>
    <row r="522" spans="1:9" s="4" customFormat="1">
      <c r="A522" s="36"/>
      <c r="B522" s="36"/>
      <c r="C522" s="36"/>
      <c r="D522" s="36"/>
      <c r="E522" s="36"/>
      <c r="F522" s="36"/>
      <c r="G522" s="73"/>
      <c r="H522" s="50"/>
      <c r="I522" s="50"/>
    </row>
    <row r="523" spans="1:9" s="4" customFormat="1">
      <c r="A523" s="36"/>
      <c r="B523" s="36"/>
      <c r="C523" s="36"/>
      <c r="D523" s="36"/>
      <c r="E523" s="36"/>
      <c r="F523" s="50"/>
      <c r="G523" s="36"/>
      <c r="H523" s="36"/>
      <c r="I523" s="36"/>
    </row>
    <row r="524" spans="1:9" s="4" customFormat="1">
      <c r="A524" s="63"/>
      <c r="B524" s="36"/>
      <c r="C524" s="36"/>
      <c r="D524" s="36"/>
      <c r="E524" s="36"/>
      <c r="F524" s="50"/>
      <c r="G524" s="36"/>
      <c r="H524" s="36"/>
      <c r="I524" s="36"/>
    </row>
    <row r="525" spans="1:9" s="4" customFormat="1">
      <c r="A525" s="36"/>
      <c r="B525" s="74"/>
      <c r="C525" s="36"/>
      <c r="D525" s="36"/>
      <c r="E525" s="36"/>
      <c r="F525" s="36"/>
      <c r="G525" s="36"/>
      <c r="H525" s="36"/>
      <c r="I525" s="36"/>
    </row>
    <row r="526" spans="1:9" s="4" customFormat="1">
      <c r="A526" s="619"/>
      <c r="B526" s="182"/>
      <c r="C526" s="182"/>
      <c r="D526" s="182"/>
      <c r="E526" s="619"/>
      <c r="F526" s="619"/>
      <c r="G526" s="619"/>
      <c r="H526" s="619"/>
      <c r="I526" s="619"/>
    </row>
    <row r="527" spans="1:9" s="4" customFormat="1">
      <c r="A527" s="619"/>
      <c r="B527" s="182"/>
      <c r="C527" s="182"/>
      <c r="D527" s="182"/>
      <c r="E527" s="182"/>
      <c r="F527" s="182"/>
      <c r="G527" s="620"/>
      <c r="H527" s="620"/>
      <c r="I527" s="620"/>
    </row>
    <row r="528" spans="1:9" s="4" customFormat="1">
      <c r="A528" s="64"/>
      <c r="B528" s="76"/>
      <c r="C528" s="50"/>
      <c r="D528" s="50"/>
      <c r="E528" s="50"/>
      <c r="F528" s="65"/>
      <c r="G528" s="50"/>
      <c r="H528" s="50"/>
      <c r="I528" s="55"/>
    </row>
    <row r="529" spans="1:9" s="4" customFormat="1">
      <c r="A529" s="64"/>
      <c r="B529" s="76"/>
      <c r="C529" s="50"/>
      <c r="D529" s="50"/>
      <c r="E529" s="50"/>
      <c r="F529" s="65"/>
      <c r="G529" s="50"/>
      <c r="H529" s="54"/>
      <c r="I529" s="55"/>
    </row>
    <row r="530" spans="1:9" s="4" customFormat="1">
      <c r="A530" s="64"/>
      <c r="B530" s="76"/>
      <c r="C530" s="50"/>
      <c r="D530" s="50"/>
      <c r="E530" s="50"/>
      <c r="F530" s="65"/>
      <c r="G530" s="50"/>
      <c r="H530" s="54"/>
      <c r="I530" s="36"/>
    </row>
    <row r="531" spans="1:9" s="4" customFormat="1">
      <c r="A531" s="64"/>
      <c r="B531" s="76"/>
      <c r="C531" s="50"/>
      <c r="D531" s="50"/>
      <c r="E531" s="50"/>
      <c r="F531" s="65"/>
      <c r="G531" s="50"/>
      <c r="H531" s="54"/>
      <c r="I531" s="55"/>
    </row>
    <row r="532" spans="1:9" s="4" customFormat="1">
      <c r="A532" s="64"/>
      <c r="B532" s="77"/>
      <c r="C532" s="50"/>
      <c r="D532" s="50"/>
      <c r="E532" s="50"/>
      <c r="F532" s="65"/>
      <c r="G532" s="50"/>
      <c r="H532" s="54"/>
      <c r="I532" s="55"/>
    </row>
    <row r="533" spans="1:9" s="4" customFormat="1">
      <c r="A533" s="64"/>
      <c r="B533" s="77"/>
      <c r="C533" s="50"/>
      <c r="D533" s="50"/>
      <c r="E533" s="50"/>
      <c r="F533" s="65"/>
      <c r="G533" s="50"/>
      <c r="H533" s="54"/>
      <c r="I533" s="55"/>
    </row>
    <row r="534" spans="1:9" s="4" customFormat="1">
      <c r="A534" s="64"/>
      <c r="B534" s="77"/>
      <c r="C534" s="50"/>
      <c r="D534" s="50"/>
      <c r="E534" s="50"/>
      <c r="F534" s="65"/>
      <c r="G534" s="50"/>
      <c r="H534" s="54"/>
      <c r="I534" s="55"/>
    </row>
    <row r="535" spans="1:9" s="4" customFormat="1">
      <c r="A535" s="64"/>
      <c r="B535" s="77"/>
      <c r="C535" s="50"/>
      <c r="D535" s="50"/>
      <c r="E535" s="50"/>
      <c r="F535" s="65"/>
      <c r="G535" s="50"/>
      <c r="H535" s="54"/>
      <c r="I535" s="55"/>
    </row>
    <row r="536" spans="1:9" s="4" customFormat="1">
      <c r="A536" s="64"/>
      <c r="B536" s="77"/>
      <c r="C536" s="50"/>
      <c r="D536" s="50"/>
      <c r="E536" s="50"/>
      <c r="F536" s="65"/>
      <c r="G536" s="50"/>
      <c r="H536" s="54"/>
      <c r="I536" s="55"/>
    </row>
    <row r="537" spans="1:9" s="4" customFormat="1">
      <c r="A537" s="64"/>
      <c r="B537" s="77"/>
      <c r="C537" s="50"/>
      <c r="D537" s="50"/>
      <c r="E537" s="50"/>
      <c r="F537" s="65"/>
      <c r="G537" s="50"/>
      <c r="H537" s="54"/>
      <c r="I537" s="55"/>
    </row>
    <row r="538" spans="1:9" s="4" customFormat="1">
      <c r="A538" s="64"/>
      <c r="B538" s="77"/>
      <c r="C538" s="50"/>
      <c r="D538" s="50"/>
      <c r="E538" s="50"/>
      <c r="F538" s="65"/>
      <c r="G538" s="50"/>
      <c r="H538" s="54"/>
      <c r="I538" s="55"/>
    </row>
    <row r="539" spans="1:9" s="4" customFormat="1">
      <c r="A539" s="64"/>
      <c r="B539" s="77"/>
      <c r="C539" s="50"/>
      <c r="D539" s="50"/>
      <c r="E539" s="50"/>
      <c r="F539" s="65"/>
      <c r="G539" s="50"/>
      <c r="H539" s="54"/>
      <c r="I539" s="55"/>
    </row>
    <row r="540" spans="1:9" s="4" customFormat="1">
      <c r="A540" s="64"/>
      <c r="B540" s="77"/>
      <c r="C540" s="50"/>
      <c r="D540" s="50"/>
      <c r="E540" s="50"/>
      <c r="F540" s="65"/>
      <c r="G540" s="50"/>
      <c r="H540" s="54"/>
      <c r="I540" s="55"/>
    </row>
    <row r="541" spans="1:9" s="4" customFormat="1">
      <c r="A541" s="64"/>
      <c r="B541" s="77"/>
      <c r="C541" s="50"/>
      <c r="D541" s="50"/>
      <c r="E541" s="50"/>
      <c r="F541" s="65"/>
      <c r="G541" s="50"/>
      <c r="H541" s="54"/>
      <c r="I541" s="55"/>
    </row>
    <row r="542" spans="1:9" s="4" customFormat="1">
      <c r="A542" s="64"/>
      <c r="B542" s="77"/>
      <c r="C542" s="50"/>
      <c r="D542" s="50"/>
      <c r="E542" s="50"/>
      <c r="F542" s="65"/>
      <c r="G542" s="50"/>
      <c r="H542" s="54"/>
      <c r="I542" s="55"/>
    </row>
    <row r="543" spans="1:9" s="4" customFormat="1">
      <c r="A543" s="64"/>
      <c r="B543" s="77"/>
      <c r="C543" s="50"/>
      <c r="D543" s="50"/>
      <c r="E543" s="50"/>
      <c r="F543" s="65"/>
      <c r="G543" s="50"/>
      <c r="H543" s="54"/>
      <c r="I543" s="55"/>
    </row>
    <row r="544" spans="1:9" s="4" customFormat="1">
      <c r="A544" s="64"/>
      <c r="B544" s="77"/>
      <c r="C544" s="50"/>
      <c r="D544" s="50"/>
      <c r="E544" s="50"/>
      <c r="F544" s="65"/>
      <c r="G544" s="50"/>
      <c r="H544" s="54"/>
      <c r="I544" s="55"/>
    </row>
    <row r="545" spans="1:9" s="4" customFormat="1">
      <c r="A545" s="64"/>
      <c r="B545" s="77"/>
      <c r="C545" s="50"/>
      <c r="D545" s="50"/>
      <c r="E545" s="50"/>
      <c r="F545" s="65"/>
      <c r="G545" s="50"/>
      <c r="H545" s="54"/>
      <c r="I545" s="55"/>
    </row>
    <row r="546" spans="1:9" s="4" customFormat="1">
      <c r="A546" s="64"/>
      <c r="B546" s="77"/>
      <c r="C546" s="50"/>
      <c r="D546" s="50"/>
      <c r="E546" s="50"/>
      <c r="F546" s="65"/>
      <c r="G546" s="50"/>
      <c r="H546" s="54"/>
      <c r="I546" s="55"/>
    </row>
    <row r="547" spans="1:9" s="4" customFormat="1">
      <c r="A547" s="64"/>
      <c r="B547" s="77"/>
      <c r="C547" s="50"/>
      <c r="D547" s="50"/>
      <c r="E547" s="50"/>
      <c r="F547" s="65"/>
      <c r="G547" s="50"/>
      <c r="H547" s="54"/>
      <c r="I547" s="55"/>
    </row>
    <row r="548" spans="1:9" s="4" customFormat="1">
      <c r="A548" s="64"/>
      <c r="B548" s="77"/>
      <c r="C548" s="50"/>
      <c r="D548" s="50"/>
      <c r="E548" s="50"/>
      <c r="F548" s="65"/>
      <c r="G548" s="50"/>
      <c r="H548" s="54"/>
      <c r="I548" s="55"/>
    </row>
    <row r="549" spans="1:9" s="4" customFormat="1">
      <c r="A549" s="64"/>
      <c r="B549" s="77"/>
      <c r="C549" s="50"/>
      <c r="D549" s="50"/>
      <c r="E549" s="50"/>
      <c r="F549" s="65"/>
      <c r="G549" s="50"/>
      <c r="H549" s="54"/>
      <c r="I549" s="55"/>
    </row>
    <row r="550" spans="1:9" s="4" customFormat="1">
      <c r="A550" s="64"/>
      <c r="B550" s="77"/>
      <c r="C550" s="50"/>
      <c r="D550" s="50"/>
      <c r="E550" s="50"/>
      <c r="F550" s="65"/>
      <c r="G550" s="50"/>
      <c r="H550" s="54"/>
      <c r="I550" s="55"/>
    </row>
    <row r="551" spans="1:9" s="4" customFormat="1">
      <c r="A551" s="64"/>
      <c r="B551" s="77"/>
      <c r="C551" s="50"/>
      <c r="D551" s="50"/>
      <c r="E551" s="50"/>
      <c r="F551" s="65"/>
      <c r="G551" s="50"/>
      <c r="H551" s="54"/>
      <c r="I551" s="55"/>
    </row>
    <row r="552" spans="1:9" s="4" customFormat="1">
      <c r="A552" s="64"/>
      <c r="B552" s="77"/>
      <c r="C552" s="50"/>
      <c r="D552" s="50"/>
      <c r="E552" s="50"/>
      <c r="F552" s="65"/>
      <c r="G552" s="50"/>
      <c r="H552" s="54"/>
      <c r="I552" s="55"/>
    </row>
    <row r="553" spans="1:9" s="4" customFormat="1">
      <c r="A553" s="82"/>
      <c r="B553" s="56"/>
      <c r="C553" s="56"/>
      <c r="D553" s="56"/>
      <c r="E553" s="56"/>
      <c r="F553" s="56"/>
      <c r="G553" s="56"/>
      <c r="H553" s="56"/>
      <c r="I553" s="56"/>
    </row>
    <row r="554" spans="1:9" s="4" customFormat="1">
      <c r="A554" s="36"/>
      <c r="B554" s="50"/>
      <c r="C554" s="50"/>
      <c r="D554" s="50"/>
      <c r="E554" s="50"/>
      <c r="F554" s="36"/>
      <c r="G554" s="36"/>
      <c r="H554" s="36"/>
      <c r="I554" s="36"/>
    </row>
    <row r="555" spans="1:9" s="4" customFormat="1">
      <c r="A555" s="36"/>
      <c r="B555" s="36"/>
      <c r="C555" s="78"/>
      <c r="D555" s="78"/>
      <c r="E555" s="79"/>
      <c r="F555" s="80"/>
      <c r="G555" s="78"/>
      <c r="H555" s="36"/>
      <c r="I555" s="81"/>
    </row>
    <row r="556" spans="1:9" s="4" customFormat="1" ht="12"/>
    <row r="557" spans="1:9" s="4" customFormat="1" ht="20.25">
      <c r="A557" s="66"/>
      <c r="B557" s="67"/>
      <c r="G557" s="57"/>
      <c r="H557" s="57"/>
      <c r="I557" s="57"/>
    </row>
    <row r="558" spans="1:9" s="4" customFormat="1" ht="20.25">
      <c r="A558" s="57"/>
      <c r="B558" s="57"/>
      <c r="C558" s="57"/>
      <c r="D558" s="57"/>
      <c r="E558" s="57"/>
      <c r="F558" s="57"/>
      <c r="G558" s="57"/>
      <c r="H558" s="57"/>
      <c r="I558" s="57"/>
    </row>
    <row r="559" spans="1:9" s="4" customFormat="1" ht="29.25" customHeight="1">
      <c r="A559" s="618"/>
      <c r="B559" s="668"/>
      <c r="C559" s="668"/>
      <c r="D559" s="181"/>
      <c r="E559" s="57"/>
      <c r="F559" s="57"/>
      <c r="G559" s="57"/>
      <c r="H559" s="57"/>
      <c r="I559" s="57"/>
    </row>
    <row r="560" spans="1:9" s="4" customFormat="1">
      <c r="A560" s="68"/>
      <c r="B560" s="68"/>
      <c r="C560" s="68"/>
      <c r="D560" s="68"/>
      <c r="E560" s="68"/>
      <c r="F560" s="68"/>
      <c r="G560" s="69"/>
      <c r="H560" s="69"/>
      <c r="I560" s="615"/>
    </row>
    <row r="561" spans="1:9" s="4" customFormat="1">
      <c r="A561" s="68"/>
      <c r="B561" s="68"/>
      <c r="C561" s="68"/>
      <c r="D561" s="68"/>
      <c r="E561" s="68"/>
      <c r="F561" s="68"/>
      <c r="G561" s="69"/>
      <c r="H561" s="69"/>
      <c r="I561" s="615"/>
    </row>
    <row r="562" spans="1:9" s="4" customFormat="1">
      <c r="A562" s="36"/>
      <c r="B562" s="36"/>
      <c r="C562" s="36"/>
      <c r="D562" s="36"/>
      <c r="E562" s="36"/>
      <c r="F562" s="36"/>
      <c r="G562" s="36"/>
      <c r="H562" s="50"/>
      <c r="I562" s="36"/>
    </row>
    <row r="563" spans="1:9" s="4" customFormat="1">
      <c r="A563" s="36"/>
      <c r="B563" s="36"/>
      <c r="C563" s="36"/>
      <c r="D563" s="36"/>
      <c r="E563" s="36"/>
      <c r="F563" s="36"/>
      <c r="G563" s="59"/>
      <c r="H563" s="70"/>
      <c r="I563" s="50"/>
    </row>
    <row r="564" spans="1:9" s="4" customFormat="1">
      <c r="A564" s="36"/>
      <c r="B564" s="36"/>
      <c r="C564" s="36"/>
      <c r="D564" s="36"/>
      <c r="E564" s="36"/>
      <c r="F564" s="36"/>
      <c r="G564" s="59"/>
      <c r="H564" s="70"/>
      <c r="I564" s="50"/>
    </row>
    <row r="565" spans="1:9" s="4" customFormat="1">
      <c r="A565" s="36"/>
      <c r="B565" s="36"/>
      <c r="C565" s="36"/>
      <c r="D565" s="36"/>
      <c r="E565" s="36"/>
      <c r="F565" s="36"/>
      <c r="G565" s="60"/>
      <c r="H565" s="70"/>
      <c r="I565" s="50"/>
    </row>
    <row r="566" spans="1:9" s="4" customFormat="1">
      <c r="A566" s="36"/>
      <c r="B566" s="36"/>
      <c r="C566" s="36"/>
      <c r="D566" s="36"/>
      <c r="E566" s="36"/>
      <c r="F566" s="36"/>
      <c r="G566" s="60"/>
      <c r="H566" s="70"/>
      <c r="I566" s="50"/>
    </row>
    <row r="567" spans="1:9" s="4" customFormat="1">
      <c r="A567" s="36"/>
      <c r="B567" s="36"/>
      <c r="C567" s="36"/>
      <c r="D567" s="36"/>
      <c r="E567" s="36"/>
      <c r="F567" s="36"/>
      <c r="G567" s="60"/>
      <c r="H567" s="70"/>
      <c r="I567" s="50"/>
    </row>
    <row r="568" spans="1:9" s="4" customFormat="1">
      <c r="A568" s="36"/>
      <c r="B568" s="36"/>
      <c r="C568" s="36"/>
      <c r="D568" s="36"/>
      <c r="E568" s="36"/>
      <c r="F568" s="36"/>
      <c r="G568" s="60"/>
      <c r="H568" s="70"/>
      <c r="I568" s="50"/>
    </row>
    <row r="569" spans="1:9" s="4" customFormat="1">
      <c r="A569" s="36"/>
      <c r="B569" s="36"/>
      <c r="C569" s="36"/>
      <c r="D569" s="36"/>
      <c r="E569" s="36"/>
      <c r="F569" s="36"/>
      <c r="G569" s="36"/>
      <c r="H569" s="36"/>
      <c r="I569" s="36"/>
    </row>
    <row r="570" spans="1:9" s="4" customFormat="1">
      <c r="A570" s="68"/>
      <c r="B570" s="68"/>
      <c r="C570" s="68"/>
      <c r="D570" s="68"/>
      <c r="E570" s="68"/>
      <c r="F570" s="68"/>
      <c r="G570" s="622"/>
      <c r="H570" s="71"/>
      <c r="I570" s="71"/>
    </row>
    <row r="571" spans="1:9" s="4" customFormat="1">
      <c r="A571" s="68"/>
      <c r="B571" s="68"/>
      <c r="C571" s="68"/>
      <c r="D571" s="68"/>
      <c r="E571" s="68"/>
      <c r="F571" s="68"/>
      <c r="G571" s="622"/>
      <c r="H571" s="71"/>
      <c r="I571" s="71"/>
    </row>
    <row r="572" spans="1:9" s="4" customFormat="1">
      <c r="A572" s="61"/>
      <c r="B572" s="36"/>
      <c r="C572" s="62"/>
      <c r="D572" s="62"/>
      <c r="E572" s="62"/>
      <c r="F572" s="36"/>
      <c r="G572" s="62"/>
      <c r="H572" s="72"/>
      <c r="I572" s="50"/>
    </row>
    <row r="573" spans="1:9" s="4" customFormat="1">
      <c r="A573" s="36"/>
      <c r="B573" s="36"/>
      <c r="C573" s="36"/>
      <c r="D573" s="36"/>
      <c r="E573" s="36"/>
      <c r="F573" s="36"/>
      <c r="G573" s="50"/>
      <c r="H573" s="50"/>
      <c r="I573" s="70"/>
    </row>
    <row r="574" spans="1:9" s="4" customFormat="1">
      <c r="A574" s="36"/>
      <c r="B574" s="36"/>
      <c r="C574" s="36"/>
      <c r="D574" s="36"/>
      <c r="E574" s="36"/>
      <c r="F574" s="36"/>
      <c r="G574" s="70"/>
      <c r="H574" s="50"/>
      <c r="I574" s="50"/>
    </row>
    <row r="575" spans="1:9" s="4" customFormat="1">
      <c r="A575" s="36"/>
      <c r="B575" s="36"/>
      <c r="C575" s="36"/>
      <c r="D575" s="36"/>
      <c r="E575" s="36"/>
      <c r="F575" s="36"/>
      <c r="G575" s="47"/>
      <c r="H575" s="50"/>
      <c r="I575" s="50"/>
    </row>
    <row r="576" spans="1:9" s="4" customFormat="1">
      <c r="A576" s="36"/>
      <c r="B576" s="36"/>
      <c r="C576" s="36"/>
      <c r="D576" s="36"/>
      <c r="E576" s="36"/>
      <c r="F576" s="36"/>
      <c r="G576" s="73"/>
      <c r="H576" s="50"/>
      <c r="I576" s="50"/>
    </row>
    <row r="577" spans="1:9" s="4" customFormat="1">
      <c r="A577" s="36"/>
      <c r="B577" s="36"/>
      <c r="C577" s="36"/>
      <c r="D577" s="36"/>
      <c r="E577" s="36"/>
      <c r="F577" s="50"/>
      <c r="G577" s="36"/>
      <c r="H577" s="36"/>
      <c r="I577" s="36"/>
    </row>
    <row r="578" spans="1:9" s="4" customFormat="1">
      <c r="A578" s="63"/>
      <c r="B578" s="36"/>
      <c r="C578" s="36"/>
      <c r="D578" s="36"/>
      <c r="E578" s="36"/>
      <c r="F578" s="50"/>
      <c r="G578" s="36"/>
      <c r="H578" s="36"/>
      <c r="I578" s="36"/>
    </row>
    <row r="579" spans="1:9" s="4" customFormat="1">
      <c r="A579" s="36"/>
      <c r="B579" s="74"/>
      <c r="C579" s="36"/>
      <c r="D579" s="36"/>
      <c r="E579" s="36"/>
      <c r="F579" s="36"/>
      <c r="G579" s="36"/>
      <c r="H579" s="36"/>
      <c r="I579" s="36"/>
    </row>
    <row r="580" spans="1:9" s="4" customFormat="1">
      <c r="A580" s="619"/>
      <c r="B580" s="182"/>
      <c r="C580" s="182"/>
      <c r="D580" s="182"/>
      <c r="E580" s="619"/>
      <c r="F580" s="619"/>
      <c r="G580" s="619"/>
      <c r="H580" s="619"/>
      <c r="I580" s="619"/>
    </row>
    <row r="581" spans="1:9" s="4" customFormat="1">
      <c r="A581" s="619"/>
      <c r="B581" s="182"/>
      <c r="C581" s="182"/>
      <c r="D581" s="182"/>
      <c r="E581" s="182"/>
      <c r="F581" s="182"/>
      <c r="G581" s="620"/>
      <c r="H581" s="620"/>
      <c r="I581" s="620"/>
    </row>
    <row r="582" spans="1:9" s="4" customFormat="1">
      <c r="A582" s="64"/>
      <c r="B582" s="76"/>
      <c r="C582" s="50"/>
      <c r="D582" s="50"/>
      <c r="E582" s="50"/>
      <c r="F582" s="65"/>
      <c r="G582" s="50"/>
      <c r="H582" s="50"/>
      <c r="I582" s="55"/>
    </row>
    <row r="583" spans="1:9" s="4" customFormat="1">
      <c r="A583" s="64"/>
      <c r="B583" s="76"/>
      <c r="C583" s="50"/>
      <c r="D583" s="50"/>
      <c r="E583" s="50"/>
      <c r="F583" s="65"/>
      <c r="G583" s="50"/>
      <c r="H583" s="54"/>
      <c r="I583" s="55"/>
    </row>
    <row r="584" spans="1:9" s="4" customFormat="1">
      <c r="A584" s="64"/>
      <c r="B584" s="76"/>
      <c r="C584" s="50"/>
      <c r="D584" s="50"/>
      <c r="E584" s="50"/>
      <c r="F584" s="65"/>
      <c r="G584" s="50"/>
      <c r="H584" s="54"/>
      <c r="I584" s="36"/>
    </row>
    <row r="585" spans="1:9" s="4" customFormat="1">
      <c r="A585" s="64"/>
      <c r="B585" s="76"/>
      <c r="C585" s="50"/>
      <c r="D585" s="50"/>
      <c r="E585" s="50"/>
      <c r="F585" s="65"/>
      <c r="G585" s="50"/>
      <c r="H585" s="54"/>
      <c r="I585" s="55"/>
    </row>
    <row r="586" spans="1:9" s="4" customFormat="1">
      <c r="A586" s="64"/>
      <c r="B586" s="77"/>
      <c r="C586" s="50"/>
      <c r="D586" s="50"/>
      <c r="E586" s="50"/>
      <c r="F586" s="65"/>
      <c r="G586" s="50"/>
      <c r="H586" s="54"/>
      <c r="I586" s="55"/>
    </row>
    <row r="587" spans="1:9" s="4" customFormat="1">
      <c r="A587" s="64"/>
      <c r="B587" s="77"/>
      <c r="C587" s="50"/>
      <c r="D587" s="50"/>
      <c r="E587" s="50"/>
      <c r="F587" s="65"/>
      <c r="G587" s="50"/>
      <c r="H587" s="54"/>
      <c r="I587" s="55"/>
    </row>
    <row r="588" spans="1:9" s="4" customFormat="1">
      <c r="A588" s="64"/>
      <c r="B588" s="77"/>
      <c r="C588" s="50"/>
      <c r="D588" s="50"/>
      <c r="E588" s="50"/>
      <c r="F588" s="65"/>
      <c r="G588" s="50"/>
      <c r="H588" s="54"/>
      <c r="I588" s="55"/>
    </row>
    <row r="589" spans="1:9" s="4" customFormat="1">
      <c r="A589" s="64"/>
      <c r="B589" s="77"/>
      <c r="C589" s="50"/>
      <c r="D589" s="50"/>
      <c r="E589" s="50"/>
      <c r="F589" s="65"/>
      <c r="G589" s="50"/>
      <c r="H589" s="54"/>
      <c r="I589" s="55"/>
    </row>
    <row r="590" spans="1:9" s="4" customFormat="1">
      <c r="A590" s="64"/>
      <c r="B590" s="77"/>
      <c r="C590" s="50"/>
      <c r="D590" s="50"/>
      <c r="E590" s="50"/>
      <c r="F590" s="65"/>
      <c r="G590" s="50"/>
      <c r="H590" s="54"/>
      <c r="I590" s="55"/>
    </row>
    <row r="591" spans="1:9" s="4" customFormat="1">
      <c r="A591" s="64"/>
      <c r="B591" s="77"/>
      <c r="C591" s="50"/>
      <c r="D591" s="50"/>
      <c r="E591" s="50"/>
      <c r="F591" s="65"/>
      <c r="G591" s="50"/>
      <c r="H591" s="54"/>
      <c r="I591" s="55"/>
    </row>
    <row r="592" spans="1:9" s="4" customFormat="1">
      <c r="A592" s="64"/>
      <c r="B592" s="77"/>
      <c r="C592" s="50"/>
      <c r="D592" s="50"/>
      <c r="E592" s="50"/>
      <c r="F592" s="65"/>
      <c r="G592" s="50"/>
      <c r="H592" s="54"/>
      <c r="I592" s="55"/>
    </row>
    <row r="593" spans="1:9" s="4" customFormat="1">
      <c r="A593" s="64"/>
      <c r="B593" s="77"/>
      <c r="C593" s="50"/>
      <c r="D593" s="50"/>
      <c r="E593" s="50"/>
      <c r="F593" s="65"/>
      <c r="G593" s="50"/>
      <c r="H593" s="54"/>
      <c r="I593" s="55"/>
    </row>
    <row r="594" spans="1:9" s="4" customFormat="1">
      <c r="A594" s="64"/>
      <c r="B594" s="77"/>
      <c r="C594" s="50"/>
      <c r="D594" s="50"/>
      <c r="E594" s="50"/>
      <c r="F594" s="65"/>
      <c r="G594" s="50"/>
      <c r="H594" s="54"/>
      <c r="I594" s="55"/>
    </row>
    <row r="595" spans="1:9" s="4" customFormat="1">
      <c r="A595" s="64"/>
      <c r="B595" s="77"/>
      <c r="C595" s="50"/>
      <c r="D595" s="50"/>
      <c r="E595" s="50"/>
      <c r="F595" s="65"/>
      <c r="G595" s="50"/>
      <c r="H595" s="54"/>
      <c r="I595" s="55"/>
    </row>
    <row r="596" spans="1:9" s="4" customFormat="1">
      <c r="A596" s="64"/>
      <c r="B596" s="77"/>
      <c r="C596" s="50"/>
      <c r="D596" s="50"/>
      <c r="E596" s="50"/>
      <c r="F596" s="65"/>
      <c r="G596" s="50"/>
      <c r="H596" s="54"/>
      <c r="I596" s="55"/>
    </row>
    <row r="597" spans="1:9" s="4" customFormat="1">
      <c r="A597" s="64"/>
      <c r="B597" s="77"/>
      <c r="C597" s="50"/>
      <c r="D597" s="50"/>
      <c r="E597" s="50"/>
      <c r="F597" s="65"/>
      <c r="G597" s="50"/>
      <c r="H597" s="54"/>
      <c r="I597" s="55"/>
    </row>
    <row r="598" spans="1:9" s="4" customFormat="1">
      <c r="A598" s="64"/>
      <c r="B598" s="77"/>
      <c r="C598" s="50"/>
      <c r="D598" s="50"/>
      <c r="E598" s="50"/>
      <c r="F598" s="65"/>
      <c r="G598" s="50"/>
      <c r="H598" s="54"/>
      <c r="I598" s="55"/>
    </row>
    <row r="599" spans="1:9" s="4" customFormat="1">
      <c r="A599" s="64"/>
      <c r="B599" s="77"/>
      <c r="C599" s="50"/>
      <c r="D599" s="50"/>
      <c r="E599" s="50"/>
      <c r="F599" s="65"/>
      <c r="G599" s="50"/>
      <c r="H599" s="54"/>
      <c r="I599" s="55"/>
    </row>
    <row r="600" spans="1:9" s="4" customFormat="1">
      <c r="A600" s="64"/>
      <c r="B600" s="77"/>
      <c r="C600" s="50"/>
      <c r="D600" s="50"/>
      <c r="E600" s="50"/>
      <c r="F600" s="65"/>
      <c r="G600" s="50"/>
      <c r="H600" s="54"/>
      <c r="I600" s="55"/>
    </row>
    <row r="601" spans="1:9" s="4" customFormat="1">
      <c r="A601" s="64"/>
      <c r="B601" s="77"/>
      <c r="C601" s="50"/>
      <c r="D601" s="50"/>
      <c r="E601" s="50"/>
      <c r="F601" s="65"/>
      <c r="G601" s="50"/>
      <c r="H601" s="54"/>
      <c r="I601" s="55"/>
    </row>
    <row r="602" spans="1:9" s="4" customFormat="1">
      <c r="A602" s="64"/>
      <c r="B602" s="77"/>
      <c r="C602" s="50"/>
      <c r="D602" s="50"/>
      <c r="E602" s="50"/>
      <c r="F602" s="65"/>
      <c r="G602" s="50"/>
      <c r="H602" s="54"/>
      <c r="I602" s="55"/>
    </row>
    <row r="603" spans="1:9" s="4" customFormat="1">
      <c r="A603" s="64"/>
      <c r="B603" s="77"/>
      <c r="C603" s="50"/>
      <c r="D603" s="50"/>
      <c r="E603" s="50"/>
      <c r="F603" s="65"/>
      <c r="G603" s="50"/>
      <c r="H603" s="54"/>
      <c r="I603" s="55"/>
    </row>
    <row r="604" spans="1:9" s="4" customFormat="1">
      <c r="A604" s="64"/>
      <c r="B604" s="77"/>
      <c r="C604" s="50"/>
      <c r="D604" s="50"/>
      <c r="E604" s="50"/>
      <c r="F604" s="65"/>
      <c r="G604" s="50"/>
      <c r="H604" s="54"/>
      <c r="I604" s="55"/>
    </row>
    <row r="605" spans="1:9" s="4" customFormat="1">
      <c r="A605" s="64"/>
      <c r="B605" s="77"/>
      <c r="C605" s="50"/>
      <c r="D605" s="50"/>
      <c r="E605" s="50"/>
      <c r="F605" s="65"/>
      <c r="G605" s="50"/>
      <c r="H605" s="54"/>
      <c r="I605" s="55"/>
    </row>
    <row r="606" spans="1:9" s="4" customFormat="1">
      <c r="A606" s="64"/>
      <c r="B606" s="77"/>
      <c r="C606" s="50"/>
      <c r="D606" s="50"/>
      <c r="E606" s="50"/>
      <c r="F606" s="65"/>
      <c r="G606" s="50"/>
      <c r="H606" s="54"/>
      <c r="I606" s="55"/>
    </row>
    <row r="607" spans="1:9" s="4" customFormat="1">
      <c r="A607" s="82"/>
      <c r="B607" s="56"/>
      <c r="C607" s="56"/>
      <c r="D607" s="56"/>
      <c r="E607" s="56"/>
      <c r="F607" s="56"/>
      <c r="G607" s="56"/>
      <c r="H607" s="56"/>
      <c r="I607" s="56"/>
    </row>
    <row r="608" spans="1:9" s="4" customFormat="1">
      <c r="A608" s="36"/>
      <c r="B608" s="50"/>
      <c r="C608" s="50"/>
      <c r="D608" s="50"/>
      <c r="E608" s="50"/>
      <c r="F608" s="36"/>
      <c r="G608" s="36"/>
      <c r="H608" s="36"/>
      <c r="I608" s="36"/>
    </row>
    <row r="609" spans="1:9" s="4" customFormat="1">
      <c r="A609" s="36"/>
      <c r="B609" s="36"/>
      <c r="C609" s="78"/>
      <c r="D609" s="78"/>
      <c r="E609" s="79"/>
      <c r="F609" s="80"/>
      <c r="G609" s="78"/>
      <c r="H609" s="36"/>
      <c r="I609" s="81"/>
    </row>
    <row r="610" spans="1:9" s="4" customFormat="1" ht="12"/>
    <row r="611" spans="1:9" s="4" customFormat="1" ht="20.25">
      <c r="A611" s="66"/>
      <c r="B611" s="67"/>
      <c r="G611" s="57"/>
      <c r="H611" s="57"/>
      <c r="I611" s="57"/>
    </row>
    <row r="612" spans="1:9" s="4" customFormat="1" ht="20.25">
      <c r="A612" s="57"/>
      <c r="B612" s="57"/>
      <c r="C612" s="57"/>
      <c r="D612" s="57"/>
      <c r="E612" s="57"/>
      <c r="F612" s="57"/>
      <c r="G612" s="57"/>
      <c r="H612" s="57"/>
      <c r="I612" s="57"/>
    </row>
    <row r="613" spans="1:9" s="4" customFormat="1" ht="31.5" customHeight="1">
      <c r="A613" s="618"/>
      <c r="B613" s="668"/>
      <c r="C613" s="668"/>
      <c r="D613" s="181"/>
      <c r="E613" s="57"/>
      <c r="F613" s="57"/>
      <c r="G613" s="57"/>
      <c r="H613" s="57"/>
      <c r="I613" s="57"/>
    </row>
    <row r="614" spans="1:9" s="4" customFormat="1">
      <c r="A614" s="68"/>
      <c r="B614" s="68"/>
      <c r="C614" s="68"/>
      <c r="D614" s="68"/>
      <c r="E614" s="68"/>
      <c r="F614" s="68"/>
      <c r="G614" s="69"/>
      <c r="H614" s="69"/>
      <c r="I614" s="615"/>
    </row>
    <row r="615" spans="1:9" s="4" customFormat="1">
      <c r="A615" s="68"/>
      <c r="B615" s="68"/>
      <c r="C615" s="68"/>
      <c r="D615" s="68"/>
      <c r="E615" s="68"/>
      <c r="F615" s="68"/>
      <c r="G615" s="69"/>
      <c r="H615" s="69"/>
      <c r="I615" s="615"/>
    </row>
    <row r="616" spans="1:9" s="4" customFormat="1">
      <c r="A616" s="36"/>
      <c r="B616" s="36"/>
      <c r="C616" s="36"/>
      <c r="D616" s="36"/>
      <c r="E616" s="36"/>
      <c r="F616" s="36"/>
      <c r="G616" s="36"/>
      <c r="H616" s="50"/>
      <c r="I616" s="36"/>
    </row>
    <row r="617" spans="1:9" s="4" customFormat="1">
      <c r="A617" s="36"/>
      <c r="B617" s="36"/>
      <c r="C617" s="36"/>
      <c r="D617" s="36"/>
      <c r="E617" s="36"/>
      <c r="F617" s="36"/>
      <c r="G617" s="59"/>
      <c r="H617" s="70"/>
      <c r="I617" s="50"/>
    </row>
    <row r="618" spans="1:9" s="4" customFormat="1">
      <c r="A618" s="36"/>
      <c r="B618" s="36"/>
      <c r="C618" s="36"/>
      <c r="D618" s="36"/>
      <c r="E618" s="36"/>
      <c r="F618" s="36"/>
      <c r="G618" s="59"/>
      <c r="H618" s="70"/>
      <c r="I618" s="50"/>
    </row>
    <row r="619" spans="1:9" s="4" customFormat="1">
      <c r="A619" s="36"/>
      <c r="B619" s="36"/>
      <c r="C619" s="36"/>
      <c r="D619" s="36"/>
      <c r="E619" s="36"/>
      <c r="F619" s="36"/>
      <c r="G619" s="60"/>
      <c r="H619" s="70"/>
      <c r="I619" s="50"/>
    </row>
    <row r="620" spans="1:9" s="4" customFormat="1">
      <c r="A620" s="36"/>
      <c r="B620" s="36"/>
      <c r="C620" s="36"/>
      <c r="D620" s="36"/>
      <c r="E620" s="36"/>
      <c r="F620" s="36"/>
      <c r="G620" s="60"/>
      <c r="H620" s="70"/>
      <c r="I620" s="50"/>
    </row>
    <row r="621" spans="1:9" s="4" customFormat="1">
      <c r="A621" s="36"/>
      <c r="B621" s="36"/>
      <c r="C621" s="36"/>
      <c r="D621" s="36"/>
      <c r="E621" s="36"/>
      <c r="F621" s="36"/>
      <c r="G621" s="60"/>
      <c r="H621" s="70"/>
      <c r="I621" s="50"/>
    </row>
    <row r="622" spans="1:9" s="4" customFormat="1">
      <c r="A622" s="36"/>
      <c r="B622" s="36"/>
      <c r="C622" s="36"/>
      <c r="D622" s="36"/>
      <c r="E622" s="36"/>
      <c r="F622" s="36"/>
      <c r="G622" s="60"/>
      <c r="H622" s="70"/>
      <c r="I622" s="50"/>
    </row>
    <row r="623" spans="1:9" s="4" customFormat="1">
      <c r="A623" s="36"/>
      <c r="B623" s="36"/>
      <c r="C623" s="36"/>
      <c r="D623" s="36"/>
      <c r="E623" s="36"/>
      <c r="F623" s="36"/>
      <c r="G623" s="36"/>
      <c r="H623" s="36"/>
      <c r="I623" s="36"/>
    </row>
    <row r="624" spans="1:9" s="4" customFormat="1">
      <c r="A624" s="68"/>
      <c r="B624" s="68"/>
      <c r="C624" s="68"/>
      <c r="D624" s="68"/>
      <c r="E624" s="68"/>
      <c r="F624" s="68"/>
      <c r="G624" s="622"/>
      <c r="H624" s="71"/>
      <c r="I624" s="71"/>
    </row>
    <row r="625" spans="1:9" s="4" customFormat="1">
      <c r="A625" s="68"/>
      <c r="B625" s="68"/>
      <c r="C625" s="68"/>
      <c r="D625" s="68"/>
      <c r="E625" s="68"/>
      <c r="F625" s="68"/>
      <c r="G625" s="622"/>
      <c r="H625" s="71"/>
      <c r="I625" s="71"/>
    </row>
    <row r="626" spans="1:9" s="4" customFormat="1">
      <c r="A626" s="61"/>
      <c r="B626" s="36"/>
      <c r="C626" s="62"/>
      <c r="D626" s="62"/>
      <c r="E626" s="62"/>
      <c r="F626" s="36"/>
      <c r="G626" s="62"/>
      <c r="H626" s="72"/>
      <c r="I626" s="50"/>
    </row>
    <row r="627" spans="1:9" s="4" customFormat="1">
      <c r="A627" s="36"/>
      <c r="B627" s="36"/>
      <c r="C627" s="36"/>
      <c r="D627" s="36"/>
      <c r="E627" s="36"/>
      <c r="F627" s="36"/>
      <c r="G627" s="50"/>
      <c r="H627" s="50"/>
      <c r="I627" s="70"/>
    </row>
    <row r="628" spans="1:9" s="4" customFormat="1">
      <c r="A628" s="36"/>
      <c r="B628" s="36"/>
      <c r="C628" s="36"/>
      <c r="D628" s="36"/>
      <c r="E628" s="36"/>
      <c r="F628" s="36"/>
      <c r="G628" s="70"/>
      <c r="H628" s="50"/>
      <c r="I628" s="50"/>
    </row>
    <row r="629" spans="1:9" s="4" customFormat="1">
      <c r="A629" s="36"/>
      <c r="B629" s="36"/>
      <c r="C629" s="36"/>
      <c r="D629" s="36"/>
      <c r="E629" s="36"/>
      <c r="F629" s="36"/>
      <c r="G629" s="47"/>
      <c r="H629" s="50"/>
      <c r="I629" s="50"/>
    </row>
    <row r="630" spans="1:9" s="4" customFormat="1">
      <c r="A630" s="36"/>
      <c r="B630" s="36"/>
      <c r="C630" s="36"/>
      <c r="D630" s="36"/>
      <c r="E630" s="36"/>
      <c r="F630" s="36"/>
      <c r="G630" s="73"/>
      <c r="H630" s="50"/>
      <c r="I630" s="50"/>
    </row>
    <row r="631" spans="1:9" s="4" customFormat="1">
      <c r="A631" s="36"/>
      <c r="B631" s="36"/>
      <c r="C631" s="36"/>
      <c r="D631" s="36"/>
      <c r="E631" s="36"/>
      <c r="F631" s="50"/>
      <c r="G631" s="36"/>
      <c r="H631" s="36"/>
      <c r="I631" s="36"/>
    </row>
    <row r="632" spans="1:9" s="4" customFormat="1">
      <c r="A632" s="63"/>
      <c r="B632" s="36"/>
      <c r="C632" s="36"/>
      <c r="D632" s="36"/>
      <c r="E632" s="36"/>
      <c r="F632" s="50"/>
      <c r="G632" s="36"/>
      <c r="H632" s="36"/>
      <c r="I632" s="36"/>
    </row>
    <row r="633" spans="1:9" s="4" customFormat="1">
      <c r="A633" s="36"/>
      <c r="B633" s="74"/>
      <c r="C633" s="36"/>
      <c r="D633" s="36"/>
      <c r="E633" s="36"/>
      <c r="F633" s="36"/>
      <c r="G633" s="36"/>
      <c r="H633" s="36"/>
      <c r="I633" s="36"/>
    </row>
    <row r="634" spans="1:9" s="4" customFormat="1">
      <c r="A634" s="619"/>
      <c r="B634" s="182"/>
      <c r="C634" s="182"/>
      <c r="D634" s="182"/>
      <c r="E634" s="619"/>
      <c r="F634" s="619"/>
      <c r="G634" s="619"/>
      <c r="H634" s="619"/>
      <c r="I634" s="619"/>
    </row>
    <row r="635" spans="1:9" s="4" customFormat="1">
      <c r="A635" s="619"/>
      <c r="B635" s="182"/>
      <c r="C635" s="182"/>
      <c r="D635" s="182"/>
      <c r="E635" s="182"/>
      <c r="F635" s="182"/>
      <c r="G635" s="620"/>
      <c r="H635" s="620"/>
      <c r="I635" s="620"/>
    </row>
    <row r="636" spans="1:9" s="4" customFormat="1">
      <c r="A636" s="64"/>
      <c r="B636" s="76"/>
      <c r="C636" s="50"/>
      <c r="D636" s="50"/>
      <c r="E636" s="50"/>
      <c r="F636" s="65"/>
      <c r="G636" s="50"/>
      <c r="H636" s="50"/>
      <c r="I636" s="55"/>
    </row>
    <row r="637" spans="1:9" s="4" customFormat="1">
      <c r="A637" s="64"/>
      <c r="B637" s="76"/>
      <c r="C637" s="50"/>
      <c r="D637" s="50"/>
      <c r="E637" s="50"/>
      <c r="F637" s="65"/>
      <c r="G637" s="50"/>
      <c r="H637" s="54"/>
      <c r="I637" s="55"/>
    </row>
    <row r="638" spans="1:9" s="4" customFormat="1">
      <c r="A638" s="64"/>
      <c r="B638" s="76"/>
      <c r="C638" s="50"/>
      <c r="D638" s="50"/>
      <c r="E638" s="50"/>
      <c r="F638" s="65"/>
      <c r="G638" s="50"/>
      <c r="H638" s="54"/>
      <c r="I638" s="36"/>
    </row>
    <row r="639" spans="1:9" s="4" customFormat="1">
      <c r="A639" s="64"/>
      <c r="B639" s="76"/>
      <c r="C639" s="50"/>
      <c r="D639" s="50"/>
      <c r="E639" s="50"/>
      <c r="F639" s="65"/>
      <c r="G639" s="50"/>
      <c r="H639" s="54"/>
      <c r="I639" s="55"/>
    </row>
    <row r="640" spans="1:9" s="4" customFormat="1">
      <c r="A640" s="64"/>
      <c r="B640" s="77"/>
      <c r="C640" s="50"/>
      <c r="D640" s="50"/>
      <c r="E640" s="50"/>
      <c r="F640" s="65"/>
      <c r="G640" s="50"/>
      <c r="H640" s="54"/>
      <c r="I640" s="55"/>
    </row>
    <row r="641" spans="1:9" s="4" customFormat="1">
      <c r="A641" s="64"/>
      <c r="B641" s="77"/>
      <c r="C641" s="50"/>
      <c r="D641" s="50"/>
      <c r="E641" s="50"/>
      <c r="F641" s="65"/>
      <c r="G641" s="50"/>
      <c r="H641" s="54"/>
      <c r="I641" s="55"/>
    </row>
    <row r="642" spans="1:9" s="4" customFormat="1">
      <c r="A642" s="64"/>
      <c r="B642" s="77"/>
      <c r="C642" s="50"/>
      <c r="D642" s="50"/>
      <c r="E642" s="50"/>
      <c r="F642" s="65"/>
      <c r="G642" s="50"/>
      <c r="H642" s="54"/>
      <c r="I642" s="55"/>
    </row>
    <row r="643" spans="1:9" s="4" customFormat="1">
      <c r="A643" s="64"/>
      <c r="B643" s="77"/>
      <c r="C643" s="50"/>
      <c r="D643" s="50"/>
      <c r="E643" s="50"/>
      <c r="F643" s="65"/>
      <c r="G643" s="50"/>
      <c r="H643" s="54"/>
      <c r="I643" s="55"/>
    </row>
    <row r="644" spans="1:9" s="4" customFormat="1">
      <c r="A644" s="64"/>
      <c r="B644" s="77"/>
      <c r="C644" s="50"/>
      <c r="D644" s="50"/>
      <c r="E644" s="50"/>
      <c r="F644" s="65"/>
      <c r="G644" s="50"/>
      <c r="H644" s="54"/>
      <c r="I644" s="55"/>
    </row>
    <row r="645" spans="1:9" s="4" customFormat="1">
      <c r="A645" s="64"/>
      <c r="B645" s="77"/>
      <c r="C645" s="50"/>
      <c r="D645" s="50"/>
      <c r="E645" s="50"/>
      <c r="F645" s="65"/>
      <c r="G645" s="50"/>
      <c r="H645" s="54"/>
      <c r="I645" s="55"/>
    </row>
    <row r="646" spans="1:9" s="4" customFormat="1">
      <c r="A646" s="64"/>
      <c r="B646" s="77"/>
      <c r="C646" s="50"/>
      <c r="D646" s="50"/>
      <c r="E646" s="50"/>
      <c r="F646" s="65"/>
      <c r="G646" s="50"/>
      <c r="H646" s="54"/>
      <c r="I646" s="55"/>
    </row>
    <row r="647" spans="1:9" s="4" customFormat="1">
      <c r="A647" s="64"/>
      <c r="B647" s="77"/>
      <c r="C647" s="50"/>
      <c r="D647" s="50"/>
      <c r="E647" s="50"/>
      <c r="F647" s="65"/>
      <c r="G647" s="50"/>
      <c r="H647" s="54"/>
      <c r="I647" s="55"/>
    </row>
    <row r="648" spans="1:9" s="4" customFormat="1">
      <c r="A648" s="64"/>
      <c r="B648" s="77"/>
      <c r="C648" s="50"/>
      <c r="D648" s="50"/>
      <c r="E648" s="50"/>
      <c r="F648" s="65"/>
      <c r="G648" s="50"/>
      <c r="H648" s="54"/>
      <c r="I648" s="55"/>
    </row>
    <row r="649" spans="1:9" s="4" customFormat="1">
      <c r="A649" s="64"/>
      <c r="B649" s="77"/>
      <c r="C649" s="50"/>
      <c r="D649" s="50"/>
      <c r="E649" s="50"/>
      <c r="F649" s="65"/>
      <c r="G649" s="50"/>
      <c r="H649" s="54"/>
      <c r="I649" s="55"/>
    </row>
    <row r="650" spans="1:9" s="4" customFormat="1">
      <c r="A650" s="64"/>
      <c r="B650" s="77"/>
      <c r="C650" s="50"/>
      <c r="D650" s="50"/>
      <c r="E650" s="50"/>
      <c r="F650" s="65"/>
      <c r="G650" s="50"/>
      <c r="H650" s="54"/>
      <c r="I650" s="55"/>
    </row>
    <row r="651" spans="1:9" s="4" customFormat="1">
      <c r="A651" s="64"/>
      <c r="B651" s="77"/>
      <c r="C651" s="50"/>
      <c r="D651" s="50"/>
      <c r="E651" s="50"/>
      <c r="F651" s="65"/>
      <c r="G651" s="50"/>
      <c r="H651" s="54"/>
      <c r="I651" s="55"/>
    </row>
    <row r="652" spans="1:9" s="4" customFormat="1">
      <c r="A652" s="64"/>
      <c r="B652" s="77"/>
      <c r="C652" s="50"/>
      <c r="D652" s="50"/>
      <c r="E652" s="50"/>
      <c r="F652" s="65"/>
      <c r="G652" s="50"/>
      <c r="H652" s="54"/>
      <c r="I652" s="55"/>
    </row>
    <row r="653" spans="1:9" s="4" customFormat="1">
      <c r="A653" s="64"/>
      <c r="B653" s="77"/>
      <c r="C653" s="50"/>
      <c r="D653" s="50"/>
      <c r="E653" s="50"/>
      <c r="F653" s="65"/>
      <c r="G653" s="50"/>
      <c r="H653" s="54"/>
      <c r="I653" s="55"/>
    </row>
    <row r="654" spans="1:9" s="4" customFormat="1">
      <c r="A654" s="64"/>
      <c r="B654" s="77"/>
      <c r="C654" s="50"/>
      <c r="D654" s="50"/>
      <c r="E654" s="50"/>
      <c r="F654" s="65"/>
      <c r="G654" s="50"/>
      <c r="H654" s="54"/>
      <c r="I654" s="55"/>
    </row>
    <row r="655" spans="1:9" s="4" customFormat="1">
      <c r="A655" s="64"/>
      <c r="B655" s="77"/>
      <c r="C655" s="50"/>
      <c r="D655" s="50"/>
      <c r="E655" s="50"/>
      <c r="F655" s="65"/>
      <c r="G655" s="50"/>
      <c r="H655" s="54"/>
      <c r="I655" s="55"/>
    </row>
    <row r="656" spans="1:9" s="4" customFormat="1">
      <c r="A656" s="64"/>
      <c r="B656" s="77"/>
      <c r="C656" s="50"/>
      <c r="D656" s="50"/>
      <c r="E656" s="50"/>
      <c r="F656" s="65"/>
      <c r="G656" s="50"/>
      <c r="H656" s="54"/>
      <c r="I656" s="55"/>
    </row>
    <row r="657" spans="1:9" s="4" customFormat="1">
      <c r="A657" s="64"/>
      <c r="B657" s="77"/>
      <c r="C657" s="50"/>
      <c r="D657" s="50"/>
      <c r="E657" s="50"/>
      <c r="F657" s="65"/>
      <c r="G657" s="50"/>
      <c r="H657" s="54"/>
      <c r="I657" s="55"/>
    </row>
    <row r="658" spans="1:9" s="4" customFormat="1">
      <c r="A658" s="64"/>
      <c r="B658" s="77"/>
      <c r="C658" s="50"/>
      <c r="D658" s="50"/>
      <c r="E658" s="50"/>
      <c r="F658" s="65"/>
      <c r="G658" s="50"/>
      <c r="H658" s="54"/>
      <c r="I658" s="55"/>
    </row>
    <row r="659" spans="1:9" s="4" customFormat="1">
      <c r="A659" s="64"/>
      <c r="B659" s="77"/>
      <c r="C659" s="50"/>
      <c r="D659" s="50"/>
      <c r="E659" s="50"/>
      <c r="F659" s="65"/>
      <c r="G659" s="50"/>
      <c r="H659" s="54"/>
      <c r="I659" s="55"/>
    </row>
    <row r="660" spans="1:9" s="4" customFormat="1">
      <c r="A660" s="64"/>
      <c r="B660" s="77"/>
      <c r="C660" s="50"/>
      <c r="D660" s="50"/>
      <c r="E660" s="50"/>
      <c r="F660" s="65"/>
      <c r="G660" s="50"/>
      <c r="H660" s="54"/>
      <c r="I660" s="55"/>
    </row>
    <row r="661" spans="1:9" s="4" customFormat="1">
      <c r="A661" s="82"/>
      <c r="B661" s="56"/>
      <c r="C661" s="56"/>
      <c r="D661" s="56"/>
      <c r="E661" s="56"/>
      <c r="F661" s="56"/>
      <c r="G661" s="56"/>
      <c r="H661" s="56"/>
      <c r="I661" s="56"/>
    </row>
    <row r="662" spans="1:9" s="4" customFormat="1">
      <c r="A662" s="36"/>
      <c r="B662" s="50"/>
      <c r="C662" s="50"/>
      <c r="D662" s="50"/>
      <c r="E662" s="50"/>
      <c r="F662" s="36"/>
      <c r="G662" s="36"/>
      <c r="H662" s="36"/>
      <c r="I662" s="36"/>
    </row>
    <row r="663" spans="1:9" s="4" customFormat="1">
      <c r="A663" s="36"/>
      <c r="B663" s="36"/>
      <c r="C663" s="78"/>
      <c r="D663" s="78"/>
      <c r="E663" s="79"/>
      <c r="F663" s="80"/>
      <c r="G663" s="78"/>
      <c r="H663" s="36"/>
      <c r="I663" s="81"/>
    </row>
    <row r="664" spans="1:9" s="4" customFormat="1" ht="12"/>
    <row r="665" spans="1:9" s="4" customFormat="1" ht="12"/>
    <row r="666" spans="1:9" s="4" customFormat="1" ht="20.25">
      <c r="A666" s="618"/>
      <c r="B666" s="668"/>
      <c r="C666" s="668"/>
      <c r="D666" s="181"/>
      <c r="E666" s="57"/>
      <c r="F666" s="57"/>
      <c r="G666" s="57"/>
      <c r="H666" s="57"/>
      <c r="I666" s="57"/>
    </row>
    <row r="667" spans="1:9" s="4" customFormat="1">
      <c r="A667" s="68"/>
      <c r="B667" s="68"/>
      <c r="C667" s="68"/>
      <c r="D667" s="68"/>
      <c r="E667" s="68"/>
      <c r="F667" s="68"/>
      <c r="G667" s="69"/>
      <c r="H667" s="69"/>
      <c r="I667" s="615"/>
    </row>
    <row r="668" spans="1:9" s="4" customFormat="1">
      <c r="A668" s="68"/>
      <c r="B668" s="68"/>
      <c r="C668" s="68"/>
      <c r="D668" s="68"/>
      <c r="E668" s="68"/>
      <c r="F668" s="68"/>
      <c r="G668" s="69"/>
      <c r="H668" s="69"/>
      <c r="I668" s="615"/>
    </row>
    <row r="669" spans="1:9" s="4" customFormat="1">
      <c r="A669" s="36"/>
      <c r="B669" s="36"/>
      <c r="C669" s="36"/>
      <c r="D669" s="36"/>
      <c r="E669" s="36"/>
      <c r="F669" s="36"/>
      <c r="G669" s="36"/>
      <c r="H669" s="50"/>
      <c r="I669" s="36"/>
    </row>
    <row r="670" spans="1:9" s="4" customFormat="1">
      <c r="A670" s="36"/>
      <c r="B670" s="36"/>
      <c r="C670" s="36"/>
      <c r="D670" s="36"/>
      <c r="E670" s="36"/>
      <c r="F670" s="36"/>
      <c r="G670" s="58"/>
      <c r="H670" s="70"/>
      <c r="I670" s="50"/>
    </row>
    <row r="671" spans="1:9" s="4" customFormat="1">
      <c r="A671" s="36"/>
      <c r="B671" s="36"/>
      <c r="C671" s="36"/>
      <c r="D671" s="36"/>
      <c r="E671" s="36"/>
      <c r="F671" s="36"/>
      <c r="G671" s="59"/>
      <c r="H671" s="70"/>
      <c r="I671" s="50"/>
    </row>
    <row r="672" spans="1:9" s="4" customFormat="1">
      <c r="A672" s="36"/>
      <c r="B672" s="36"/>
      <c r="C672" s="36"/>
      <c r="D672" s="36"/>
      <c r="E672" s="36"/>
      <c r="F672" s="36"/>
      <c r="G672" s="60"/>
      <c r="H672" s="70"/>
      <c r="I672" s="50"/>
    </row>
    <row r="673" spans="1:9" s="4" customFormat="1">
      <c r="A673" s="36"/>
      <c r="B673" s="36"/>
      <c r="C673" s="36"/>
      <c r="D673" s="36"/>
      <c r="E673" s="36"/>
      <c r="F673" s="36"/>
      <c r="G673" s="60"/>
      <c r="H673" s="70"/>
      <c r="I673" s="50"/>
    </row>
    <row r="674" spans="1:9" s="4" customFormat="1">
      <c r="A674" s="36"/>
      <c r="B674" s="36"/>
      <c r="C674" s="36"/>
      <c r="D674" s="36"/>
      <c r="E674" s="36"/>
      <c r="F674" s="36"/>
      <c r="G674" s="60"/>
      <c r="H674" s="70"/>
      <c r="I674" s="50"/>
    </row>
    <row r="675" spans="1:9" s="4" customFormat="1">
      <c r="A675" s="36"/>
      <c r="B675" s="36"/>
      <c r="C675" s="36"/>
      <c r="D675" s="36"/>
      <c r="E675" s="36"/>
      <c r="F675" s="36"/>
      <c r="G675" s="60"/>
      <c r="H675" s="70"/>
      <c r="I675" s="50"/>
    </row>
    <row r="676" spans="1:9" s="4" customFormat="1">
      <c r="A676" s="36"/>
      <c r="B676" s="36"/>
      <c r="C676" s="36"/>
      <c r="D676" s="36"/>
      <c r="E676" s="36"/>
      <c r="F676" s="36"/>
      <c r="G676" s="36"/>
      <c r="H676" s="36"/>
      <c r="I676" s="36"/>
    </row>
    <row r="677" spans="1:9" s="4" customFormat="1">
      <c r="A677" s="68"/>
      <c r="B677" s="68"/>
      <c r="C677" s="68"/>
      <c r="D677" s="68"/>
      <c r="E677" s="68"/>
      <c r="F677" s="68"/>
      <c r="G677" s="622"/>
      <c r="H677" s="71"/>
      <c r="I677" s="71"/>
    </row>
    <row r="678" spans="1:9" s="4" customFormat="1">
      <c r="A678" s="68"/>
      <c r="B678" s="68"/>
      <c r="C678" s="68"/>
      <c r="D678" s="68"/>
      <c r="E678" s="68"/>
      <c r="F678" s="68"/>
      <c r="G678" s="622"/>
      <c r="H678" s="71"/>
      <c r="I678" s="71"/>
    </row>
    <row r="679" spans="1:9" s="4" customFormat="1">
      <c r="A679" s="61"/>
      <c r="B679" s="36"/>
      <c r="C679" s="62"/>
      <c r="D679" s="62"/>
      <c r="E679" s="62"/>
      <c r="F679" s="36"/>
      <c r="G679" s="62"/>
      <c r="H679" s="72"/>
      <c r="I679" s="50"/>
    </row>
    <row r="680" spans="1:9" s="4" customFormat="1">
      <c r="A680" s="36"/>
      <c r="B680" s="36"/>
      <c r="C680" s="36"/>
      <c r="D680" s="36"/>
      <c r="E680" s="36"/>
      <c r="F680" s="36"/>
      <c r="G680" s="50"/>
      <c r="H680" s="50"/>
      <c r="I680" s="70"/>
    </row>
    <row r="681" spans="1:9" s="4" customFormat="1">
      <c r="A681" s="36"/>
      <c r="B681" s="36"/>
      <c r="C681" s="36"/>
      <c r="D681" s="36"/>
      <c r="E681" s="36"/>
      <c r="F681" s="36"/>
      <c r="G681" s="70"/>
      <c r="H681" s="50"/>
      <c r="I681" s="50"/>
    </row>
    <row r="682" spans="1:9" s="4" customFormat="1">
      <c r="A682" s="36"/>
      <c r="B682" s="36"/>
      <c r="C682" s="36"/>
      <c r="D682" s="36"/>
      <c r="E682" s="36"/>
      <c r="F682" s="36"/>
      <c r="G682" s="47"/>
      <c r="H682" s="50"/>
      <c r="I682" s="50"/>
    </row>
    <row r="683" spans="1:9" s="4" customFormat="1">
      <c r="A683" s="36"/>
      <c r="B683" s="36"/>
      <c r="C683" s="36"/>
      <c r="D683" s="36"/>
      <c r="E683" s="36"/>
      <c r="F683" s="36"/>
      <c r="G683" s="73"/>
      <c r="H683" s="50"/>
      <c r="I683" s="50"/>
    </row>
    <row r="684" spans="1:9" s="4" customFormat="1">
      <c r="A684" s="36"/>
      <c r="B684" s="36"/>
      <c r="C684" s="36"/>
      <c r="D684" s="36"/>
      <c r="E684" s="36"/>
      <c r="F684" s="50"/>
      <c r="G684" s="36"/>
      <c r="H684" s="36"/>
      <c r="I684" s="36"/>
    </row>
    <row r="685" spans="1:9" s="4" customFormat="1">
      <c r="A685" s="63"/>
      <c r="B685" s="36"/>
      <c r="C685" s="36"/>
      <c r="D685" s="36"/>
      <c r="E685" s="36"/>
      <c r="F685" s="50"/>
      <c r="G685" s="36"/>
      <c r="H685" s="36"/>
      <c r="I685" s="36"/>
    </row>
    <row r="686" spans="1:9" s="4" customFormat="1">
      <c r="A686" s="36"/>
      <c r="B686" s="74"/>
      <c r="C686" s="36"/>
      <c r="D686" s="36"/>
      <c r="E686" s="36"/>
      <c r="F686" s="36"/>
      <c r="G686" s="36"/>
      <c r="H686" s="36"/>
      <c r="I686" s="36"/>
    </row>
    <row r="687" spans="1:9" s="4" customFormat="1">
      <c r="A687" s="619"/>
      <c r="B687" s="182"/>
      <c r="C687" s="182"/>
      <c r="D687" s="182"/>
      <c r="E687" s="619"/>
      <c r="F687" s="619"/>
      <c r="G687" s="619"/>
      <c r="H687" s="619"/>
      <c r="I687" s="619"/>
    </row>
    <row r="688" spans="1:9" s="4" customFormat="1">
      <c r="A688" s="619"/>
      <c r="B688" s="182"/>
      <c r="C688" s="182"/>
      <c r="D688" s="182"/>
      <c r="E688" s="182"/>
      <c r="F688" s="182"/>
      <c r="G688" s="620"/>
      <c r="H688" s="620"/>
      <c r="I688" s="620"/>
    </row>
    <row r="689" spans="1:9" s="4" customFormat="1">
      <c r="A689" s="64"/>
      <c r="B689" s="76"/>
      <c r="C689" s="50"/>
      <c r="D689" s="50"/>
      <c r="E689" s="50"/>
      <c r="F689" s="65"/>
      <c r="G689" s="50"/>
      <c r="H689" s="50"/>
      <c r="I689" s="55"/>
    </row>
    <row r="690" spans="1:9" s="4" customFormat="1">
      <c r="A690" s="64"/>
      <c r="B690" s="76"/>
      <c r="C690" s="50"/>
      <c r="D690" s="50"/>
      <c r="E690" s="50"/>
      <c r="F690" s="65"/>
      <c r="G690" s="50"/>
      <c r="H690" s="54"/>
      <c r="I690" s="55"/>
    </row>
    <row r="691" spans="1:9" s="4" customFormat="1">
      <c r="A691" s="64"/>
      <c r="B691" s="76"/>
      <c r="C691" s="50"/>
      <c r="D691" s="50"/>
      <c r="E691" s="50"/>
      <c r="F691" s="65"/>
      <c r="G691" s="50"/>
      <c r="H691" s="54"/>
      <c r="I691" s="36"/>
    </row>
    <row r="692" spans="1:9" s="4" customFormat="1">
      <c r="A692" s="64"/>
      <c r="B692" s="76"/>
      <c r="C692" s="50"/>
      <c r="D692" s="50"/>
      <c r="E692" s="50"/>
      <c r="F692" s="65"/>
      <c r="G692" s="50"/>
      <c r="H692" s="54"/>
      <c r="I692" s="55"/>
    </row>
    <row r="693" spans="1:9" s="4" customFormat="1">
      <c r="A693" s="64"/>
      <c r="B693" s="77"/>
      <c r="C693" s="50"/>
      <c r="D693" s="50"/>
      <c r="E693" s="50"/>
      <c r="F693" s="65"/>
      <c r="G693" s="50"/>
      <c r="H693" s="54"/>
      <c r="I693" s="55"/>
    </row>
    <row r="694" spans="1:9" s="4" customFormat="1">
      <c r="A694" s="64"/>
      <c r="B694" s="77"/>
      <c r="C694" s="50"/>
      <c r="D694" s="50"/>
      <c r="E694" s="50"/>
      <c r="F694" s="65"/>
      <c r="G694" s="50"/>
      <c r="H694" s="54"/>
      <c r="I694" s="55"/>
    </row>
    <row r="695" spans="1:9" s="4" customFormat="1">
      <c r="A695" s="64"/>
      <c r="B695" s="77"/>
      <c r="C695" s="50"/>
      <c r="D695" s="50"/>
      <c r="E695" s="50"/>
      <c r="F695" s="65"/>
      <c r="G695" s="50"/>
      <c r="H695" s="54"/>
      <c r="I695" s="55"/>
    </row>
    <row r="696" spans="1:9" s="4" customFormat="1">
      <c r="A696" s="64"/>
      <c r="B696" s="77"/>
      <c r="C696" s="50"/>
      <c r="D696" s="50"/>
      <c r="E696" s="50"/>
      <c r="F696" s="65"/>
      <c r="G696" s="50"/>
      <c r="H696" s="54"/>
      <c r="I696" s="55"/>
    </row>
    <row r="697" spans="1:9" s="4" customFormat="1">
      <c r="A697" s="64"/>
      <c r="B697" s="77"/>
      <c r="C697" s="50"/>
      <c r="D697" s="50"/>
      <c r="E697" s="50"/>
      <c r="F697" s="65"/>
      <c r="G697" s="50"/>
      <c r="H697" s="54"/>
      <c r="I697" s="55"/>
    </row>
    <row r="698" spans="1:9" s="4" customFormat="1">
      <c r="A698" s="64"/>
      <c r="B698" s="77"/>
      <c r="C698" s="50"/>
      <c r="D698" s="50"/>
      <c r="E698" s="50"/>
      <c r="F698" s="65"/>
      <c r="G698" s="50"/>
      <c r="H698" s="54"/>
      <c r="I698" s="55"/>
    </row>
    <row r="699" spans="1:9" s="4" customFormat="1">
      <c r="A699" s="64"/>
      <c r="B699" s="77"/>
      <c r="C699" s="50"/>
      <c r="D699" s="50"/>
      <c r="E699" s="50"/>
      <c r="F699" s="65"/>
      <c r="G699" s="50"/>
      <c r="H699" s="54"/>
      <c r="I699" s="55"/>
    </row>
    <row r="700" spans="1:9" s="4" customFormat="1">
      <c r="A700" s="64"/>
      <c r="B700" s="77"/>
      <c r="C700" s="50"/>
      <c r="D700" s="50"/>
      <c r="E700" s="50"/>
      <c r="F700" s="65"/>
      <c r="G700" s="50"/>
      <c r="H700" s="54"/>
      <c r="I700" s="55"/>
    </row>
    <row r="701" spans="1:9" s="4" customFormat="1">
      <c r="A701" s="64"/>
      <c r="B701" s="77"/>
      <c r="C701" s="50"/>
      <c r="D701" s="50"/>
      <c r="E701" s="50"/>
      <c r="F701" s="65"/>
      <c r="G701" s="50"/>
      <c r="H701" s="54"/>
      <c r="I701" s="55"/>
    </row>
    <row r="702" spans="1:9" s="4" customFormat="1">
      <c r="A702" s="64"/>
      <c r="B702" s="77"/>
      <c r="C702" s="50"/>
      <c r="D702" s="50"/>
      <c r="E702" s="50"/>
      <c r="F702" s="65"/>
      <c r="G702" s="50"/>
      <c r="H702" s="54"/>
      <c r="I702" s="55"/>
    </row>
    <row r="703" spans="1:9" s="4" customFormat="1">
      <c r="A703" s="64"/>
      <c r="B703" s="77"/>
      <c r="C703" s="50"/>
      <c r="D703" s="50"/>
      <c r="E703" s="50"/>
      <c r="F703" s="65"/>
      <c r="G703" s="50"/>
      <c r="H703" s="54"/>
      <c r="I703" s="55"/>
    </row>
    <row r="704" spans="1:9" s="4" customFormat="1">
      <c r="A704" s="64"/>
      <c r="B704" s="77"/>
      <c r="C704" s="50"/>
      <c r="D704" s="50"/>
      <c r="E704" s="50"/>
      <c r="F704" s="65"/>
      <c r="G704" s="50"/>
      <c r="H704" s="54"/>
      <c r="I704" s="55"/>
    </row>
    <row r="705" spans="1:9" s="4" customFormat="1">
      <c r="A705" s="64"/>
      <c r="B705" s="77"/>
      <c r="C705" s="50"/>
      <c r="D705" s="50"/>
      <c r="E705" s="50"/>
      <c r="F705" s="65"/>
      <c r="G705" s="50"/>
      <c r="H705" s="54"/>
      <c r="I705" s="55"/>
    </row>
    <row r="706" spans="1:9" s="4" customFormat="1">
      <c r="A706" s="64"/>
      <c r="B706" s="77"/>
      <c r="C706" s="50"/>
      <c r="D706" s="50"/>
      <c r="E706" s="50"/>
      <c r="F706" s="65"/>
      <c r="G706" s="50"/>
      <c r="H706" s="54"/>
      <c r="I706" s="55"/>
    </row>
    <row r="707" spans="1:9" s="4" customFormat="1">
      <c r="A707" s="64"/>
      <c r="B707" s="77"/>
      <c r="C707" s="50"/>
      <c r="D707" s="50"/>
      <c r="E707" s="50"/>
      <c r="F707" s="65"/>
      <c r="G707" s="50"/>
      <c r="H707" s="54"/>
      <c r="I707" s="55"/>
    </row>
    <row r="708" spans="1:9" s="4" customFormat="1">
      <c r="A708" s="64"/>
      <c r="B708" s="77"/>
      <c r="C708" s="50"/>
      <c r="D708" s="50"/>
      <c r="E708" s="50"/>
      <c r="F708" s="65"/>
      <c r="G708" s="50"/>
      <c r="H708" s="54"/>
      <c r="I708" s="55"/>
    </row>
    <row r="709" spans="1:9" s="4" customFormat="1">
      <c r="A709" s="64"/>
      <c r="B709" s="77"/>
      <c r="C709" s="50"/>
      <c r="D709" s="50"/>
      <c r="E709" s="50"/>
      <c r="F709" s="65"/>
      <c r="G709" s="50"/>
      <c r="H709" s="54"/>
      <c r="I709" s="55"/>
    </row>
    <row r="710" spans="1:9" s="4" customFormat="1">
      <c r="A710" s="64"/>
      <c r="B710" s="77"/>
      <c r="C710" s="50"/>
      <c r="D710" s="50"/>
      <c r="E710" s="50"/>
      <c r="F710" s="65"/>
      <c r="G710" s="50"/>
      <c r="H710" s="54"/>
      <c r="I710" s="55"/>
    </row>
    <row r="711" spans="1:9" s="4" customFormat="1">
      <c r="A711" s="64"/>
      <c r="B711" s="77"/>
      <c r="C711" s="50"/>
      <c r="D711" s="50"/>
      <c r="E711" s="50"/>
      <c r="F711" s="65"/>
      <c r="G711" s="50"/>
      <c r="H711" s="54"/>
      <c r="I711" s="55"/>
    </row>
    <row r="712" spans="1:9" s="4" customFormat="1">
      <c r="A712" s="64"/>
      <c r="B712" s="77"/>
      <c r="C712" s="50"/>
      <c r="D712" s="50"/>
      <c r="E712" s="50"/>
      <c r="F712" s="65"/>
      <c r="G712" s="50"/>
      <c r="H712" s="54"/>
      <c r="I712" s="55"/>
    </row>
    <row r="713" spans="1:9" s="4" customFormat="1">
      <c r="A713" s="64"/>
      <c r="B713" s="77"/>
      <c r="C713" s="50"/>
      <c r="D713" s="50"/>
      <c r="E713" s="50"/>
      <c r="F713" s="65"/>
      <c r="G713" s="50"/>
      <c r="H713" s="54"/>
      <c r="I713" s="55"/>
    </row>
    <row r="714" spans="1:9" s="4" customFormat="1">
      <c r="A714" s="82"/>
      <c r="B714" s="56"/>
      <c r="C714" s="56"/>
      <c r="D714" s="56"/>
      <c r="E714" s="56"/>
      <c r="F714" s="56"/>
      <c r="G714" s="56"/>
      <c r="H714" s="56"/>
      <c r="I714" s="56"/>
    </row>
    <row r="715" spans="1:9" s="4" customFormat="1">
      <c r="A715" s="36"/>
      <c r="B715" s="50"/>
      <c r="C715" s="50"/>
      <c r="D715" s="50"/>
      <c r="E715" s="50"/>
      <c r="F715" s="36"/>
      <c r="G715" s="36"/>
      <c r="H715" s="36"/>
      <c r="I715" s="36"/>
    </row>
    <row r="716" spans="1:9" s="4" customFormat="1">
      <c r="A716" s="36"/>
      <c r="B716" s="36"/>
      <c r="C716" s="78"/>
      <c r="D716" s="78"/>
      <c r="E716" s="79"/>
      <c r="F716" s="80"/>
      <c r="G716" s="78"/>
      <c r="H716" s="36"/>
      <c r="I716" s="81"/>
    </row>
    <row r="717" spans="1:9" s="4" customFormat="1" ht="12"/>
    <row r="718" spans="1:9" s="4" customFormat="1" ht="20.25">
      <c r="A718" s="66"/>
      <c r="B718" s="67"/>
      <c r="G718" s="57"/>
      <c r="H718" s="57"/>
      <c r="I718" s="57"/>
    </row>
    <row r="719" spans="1:9" s="4" customFormat="1" ht="20.25">
      <c r="A719" s="618"/>
      <c r="B719" s="668"/>
      <c r="C719" s="668"/>
      <c r="D719" s="181"/>
      <c r="E719" s="57"/>
      <c r="F719" s="57"/>
      <c r="G719" s="57"/>
      <c r="H719" s="57"/>
      <c r="I719" s="57"/>
    </row>
    <row r="720" spans="1:9" s="4" customFormat="1">
      <c r="A720" s="68"/>
      <c r="B720" s="68"/>
      <c r="C720" s="68"/>
      <c r="D720" s="68"/>
      <c r="E720" s="68"/>
      <c r="F720" s="68"/>
      <c r="G720" s="69"/>
      <c r="H720" s="69"/>
      <c r="I720" s="615"/>
    </row>
    <row r="721" spans="1:9" s="4" customFormat="1">
      <c r="A721" s="68"/>
      <c r="B721" s="68"/>
      <c r="C721" s="68"/>
      <c r="D721" s="68"/>
      <c r="E721" s="68"/>
      <c r="F721" s="68"/>
      <c r="G721" s="69"/>
      <c r="H721" s="69"/>
      <c r="I721" s="615"/>
    </row>
    <row r="722" spans="1:9" s="4" customFormat="1">
      <c r="A722" s="36"/>
      <c r="B722" s="36"/>
      <c r="C722" s="36"/>
      <c r="D722" s="36"/>
      <c r="E722" s="36"/>
      <c r="F722" s="36"/>
      <c r="G722" s="36"/>
      <c r="H722" s="50"/>
      <c r="I722" s="36"/>
    </row>
    <row r="723" spans="1:9" s="4" customFormat="1">
      <c r="A723" s="36"/>
      <c r="B723" s="36"/>
      <c r="C723" s="36"/>
      <c r="D723" s="36"/>
      <c r="E723" s="36"/>
      <c r="F723" s="36"/>
      <c r="G723" s="58"/>
      <c r="H723" s="70"/>
      <c r="I723" s="50"/>
    </row>
    <row r="724" spans="1:9" s="4" customFormat="1">
      <c r="A724" s="36"/>
      <c r="B724" s="36"/>
      <c r="C724" s="36"/>
      <c r="D724" s="36"/>
      <c r="E724" s="36"/>
      <c r="F724" s="36"/>
      <c r="G724" s="59"/>
      <c r="H724" s="70"/>
      <c r="I724" s="50"/>
    </row>
    <row r="725" spans="1:9" s="4" customFormat="1">
      <c r="A725" s="36"/>
      <c r="B725" s="36"/>
      <c r="C725" s="36"/>
      <c r="D725" s="36"/>
      <c r="E725" s="36"/>
      <c r="F725" s="36"/>
      <c r="G725" s="60"/>
      <c r="H725" s="70"/>
      <c r="I725" s="50"/>
    </row>
    <row r="726" spans="1:9" s="4" customFormat="1">
      <c r="A726" s="36"/>
      <c r="B726" s="36"/>
      <c r="C726" s="36"/>
      <c r="D726" s="36"/>
      <c r="E726" s="36"/>
      <c r="F726" s="36"/>
      <c r="G726" s="60"/>
      <c r="H726" s="70"/>
      <c r="I726" s="50"/>
    </row>
    <row r="727" spans="1:9" s="4" customFormat="1">
      <c r="A727" s="36"/>
      <c r="B727" s="36"/>
      <c r="C727" s="36"/>
      <c r="D727" s="36"/>
      <c r="E727" s="36"/>
      <c r="F727" s="36"/>
      <c r="G727" s="60"/>
      <c r="H727" s="70"/>
      <c r="I727" s="50"/>
    </row>
    <row r="728" spans="1:9" s="4" customFormat="1">
      <c r="A728" s="36"/>
      <c r="B728" s="36"/>
      <c r="C728" s="36"/>
      <c r="D728" s="36"/>
      <c r="E728" s="36"/>
      <c r="F728" s="36"/>
      <c r="G728" s="60"/>
      <c r="H728" s="70"/>
      <c r="I728" s="50"/>
    </row>
    <row r="729" spans="1:9" s="4" customFormat="1">
      <c r="A729" s="36"/>
      <c r="B729" s="36"/>
      <c r="C729" s="36"/>
      <c r="D729" s="36"/>
      <c r="E729" s="36"/>
      <c r="F729" s="36"/>
      <c r="G729" s="36"/>
      <c r="H729" s="36"/>
      <c r="I729" s="36"/>
    </row>
    <row r="730" spans="1:9" s="4" customFormat="1">
      <c r="A730" s="68"/>
      <c r="B730" s="68"/>
      <c r="C730" s="68"/>
      <c r="D730" s="68"/>
      <c r="E730" s="68"/>
      <c r="F730" s="68"/>
      <c r="G730" s="622"/>
      <c r="H730" s="71"/>
      <c r="I730" s="71"/>
    </row>
    <row r="731" spans="1:9" s="4" customFormat="1">
      <c r="A731" s="68"/>
      <c r="B731" s="68"/>
      <c r="C731" s="68"/>
      <c r="D731" s="68"/>
      <c r="E731" s="68"/>
      <c r="F731" s="68"/>
      <c r="G731" s="622"/>
      <c r="H731" s="71"/>
      <c r="I731" s="71"/>
    </row>
    <row r="732" spans="1:9" s="4" customFormat="1">
      <c r="A732" s="61"/>
      <c r="B732" s="36"/>
      <c r="C732" s="62"/>
      <c r="D732" s="62"/>
      <c r="E732" s="62"/>
      <c r="F732" s="36"/>
      <c r="G732" s="62"/>
      <c r="H732" s="72"/>
      <c r="I732" s="50"/>
    </row>
    <row r="733" spans="1:9" s="4" customFormat="1">
      <c r="A733" s="36"/>
      <c r="B733" s="36"/>
      <c r="C733" s="36"/>
      <c r="D733" s="36"/>
      <c r="E733" s="36"/>
      <c r="F733" s="36"/>
      <c r="G733" s="50"/>
      <c r="H733" s="50"/>
      <c r="I733" s="70"/>
    </row>
    <row r="734" spans="1:9" s="4" customFormat="1">
      <c r="A734" s="36"/>
      <c r="B734" s="36"/>
      <c r="C734" s="36"/>
      <c r="D734" s="36"/>
      <c r="E734" s="36"/>
      <c r="F734" s="36"/>
      <c r="G734" s="70"/>
      <c r="H734" s="50"/>
      <c r="I734" s="50"/>
    </row>
    <row r="735" spans="1:9" s="4" customFormat="1">
      <c r="A735" s="36"/>
      <c r="B735" s="36"/>
      <c r="C735" s="36"/>
      <c r="D735" s="36"/>
      <c r="E735" s="36"/>
      <c r="F735" s="36"/>
      <c r="G735" s="47"/>
      <c r="H735" s="50"/>
      <c r="I735" s="50"/>
    </row>
    <row r="736" spans="1:9" s="4" customFormat="1">
      <c r="A736" s="36"/>
      <c r="B736" s="36"/>
      <c r="C736" s="36"/>
      <c r="D736" s="36"/>
      <c r="E736" s="36"/>
      <c r="F736" s="36"/>
      <c r="G736" s="73"/>
      <c r="H736" s="50"/>
      <c r="I736" s="50"/>
    </row>
    <row r="737" spans="1:9" s="4" customFormat="1">
      <c r="A737" s="36"/>
      <c r="B737" s="36"/>
      <c r="C737" s="36"/>
      <c r="D737" s="36"/>
      <c r="E737" s="36"/>
      <c r="F737" s="50"/>
      <c r="G737" s="36"/>
      <c r="H737" s="36"/>
      <c r="I737" s="36"/>
    </row>
    <row r="738" spans="1:9" s="4" customFormat="1">
      <c r="A738" s="63"/>
      <c r="B738" s="36"/>
      <c r="C738" s="36"/>
      <c r="D738" s="36"/>
      <c r="E738" s="36"/>
      <c r="F738" s="50"/>
      <c r="G738" s="36"/>
      <c r="H738" s="36"/>
      <c r="I738" s="36"/>
    </row>
    <row r="739" spans="1:9" s="4" customFormat="1">
      <c r="A739" s="36"/>
      <c r="B739" s="74"/>
      <c r="C739" s="36"/>
      <c r="D739" s="36"/>
      <c r="E739" s="36"/>
      <c r="F739" s="36"/>
      <c r="G739" s="36"/>
      <c r="H739" s="36"/>
      <c r="I739" s="36"/>
    </row>
    <row r="740" spans="1:9" s="4" customFormat="1">
      <c r="A740" s="619"/>
      <c r="B740" s="182"/>
      <c r="C740" s="182"/>
      <c r="D740" s="182"/>
      <c r="E740" s="619"/>
      <c r="F740" s="619"/>
      <c r="G740" s="619"/>
      <c r="H740" s="619"/>
      <c r="I740" s="619"/>
    </row>
    <row r="741" spans="1:9" s="4" customFormat="1">
      <c r="A741" s="619"/>
      <c r="B741" s="182"/>
      <c r="C741" s="182"/>
      <c r="D741" s="182"/>
      <c r="E741" s="182"/>
      <c r="F741" s="182"/>
      <c r="G741" s="620"/>
      <c r="H741" s="620"/>
      <c r="I741" s="620"/>
    </row>
    <row r="742" spans="1:9" s="4" customFormat="1">
      <c r="A742" s="64"/>
      <c r="B742" s="76"/>
      <c r="C742" s="50"/>
      <c r="D742" s="50"/>
      <c r="E742" s="50"/>
      <c r="F742" s="65"/>
      <c r="G742" s="50"/>
      <c r="H742" s="50"/>
      <c r="I742" s="55"/>
    </row>
    <row r="743" spans="1:9" s="4" customFormat="1">
      <c r="A743" s="64"/>
      <c r="B743" s="76"/>
      <c r="C743" s="50"/>
      <c r="D743" s="50"/>
      <c r="E743" s="50"/>
      <c r="F743" s="65"/>
      <c r="G743" s="50"/>
      <c r="H743" s="54"/>
      <c r="I743" s="55"/>
    </row>
    <row r="744" spans="1:9" s="4" customFormat="1">
      <c r="A744" s="64"/>
      <c r="B744" s="76"/>
      <c r="C744" s="50"/>
      <c r="D744" s="50"/>
      <c r="E744" s="50"/>
      <c r="F744" s="65"/>
      <c r="G744" s="50"/>
      <c r="H744" s="54"/>
      <c r="I744" s="36"/>
    </row>
    <row r="745" spans="1:9" s="4" customFormat="1">
      <c r="A745" s="64"/>
      <c r="B745" s="76"/>
      <c r="C745" s="50"/>
      <c r="D745" s="50"/>
      <c r="E745" s="50"/>
      <c r="F745" s="65"/>
      <c r="G745" s="50"/>
      <c r="H745" s="54"/>
      <c r="I745" s="55"/>
    </row>
    <row r="746" spans="1:9" s="4" customFormat="1">
      <c r="A746" s="64"/>
      <c r="B746" s="77"/>
      <c r="C746" s="50"/>
      <c r="D746" s="50"/>
      <c r="E746" s="50"/>
      <c r="F746" s="65"/>
      <c r="G746" s="50"/>
      <c r="H746" s="54"/>
      <c r="I746" s="55"/>
    </row>
    <row r="747" spans="1:9" s="4" customFormat="1">
      <c r="A747" s="64"/>
      <c r="B747" s="77"/>
      <c r="C747" s="50"/>
      <c r="D747" s="50"/>
      <c r="E747" s="50"/>
      <c r="F747" s="65"/>
      <c r="G747" s="50"/>
      <c r="H747" s="54"/>
      <c r="I747" s="55"/>
    </row>
    <row r="748" spans="1:9" s="4" customFormat="1">
      <c r="A748" s="64"/>
      <c r="B748" s="77"/>
      <c r="C748" s="50"/>
      <c r="D748" s="50"/>
      <c r="E748" s="50"/>
      <c r="F748" s="65"/>
      <c r="G748" s="50"/>
      <c r="H748" s="54"/>
      <c r="I748" s="55"/>
    </row>
    <row r="749" spans="1:9" s="4" customFormat="1">
      <c r="A749" s="64"/>
      <c r="B749" s="77"/>
      <c r="C749" s="50"/>
      <c r="D749" s="50"/>
      <c r="E749" s="50"/>
      <c r="F749" s="65"/>
      <c r="G749" s="50"/>
      <c r="H749" s="54"/>
      <c r="I749" s="55"/>
    </row>
    <row r="750" spans="1:9" s="4" customFormat="1">
      <c r="A750" s="64"/>
      <c r="B750" s="77"/>
      <c r="C750" s="50"/>
      <c r="D750" s="50"/>
      <c r="E750" s="50"/>
      <c r="F750" s="65"/>
      <c r="G750" s="50"/>
      <c r="H750" s="54"/>
      <c r="I750" s="55"/>
    </row>
    <row r="751" spans="1:9" s="4" customFormat="1">
      <c r="A751" s="64"/>
      <c r="B751" s="77"/>
      <c r="C751" s="50"/>
      <c r="D751" s="50"/>
      <c r="E751" s="50"/>
      <c r="F751" s="65"/>
      <c r="G751" s="50"/>
      <c r="H751" s="54"/>
      <c r="I751" s="55"/>
    </row>
    <row r="752" spans="1:9" s="4" customFormat="1">
      <c r="A752" s="64"/>
      <c r="B752" s="77"/>
      <c r="C752" s="50"/>
      <c r="D752" s="50"/>
      <c r="E752" s="50"/>
      <c r="F752" s="65"/>
      <c r="G752" s="50"/>
      <c r="H752" s="54"/>
      <c r="I752" s="55"/>
    </row>
    <row r="753" spans="1:9" s="4" customFormat="1">
      <c r="A753" s="64"/>
      <c r="B753" s="77"/>
      <c r="C753" s="50"/>
      <c r="D753" s="50"/>
      <c r="E753" s="50"/>
      <c r="F753" s="65"/>
      <c r="G753" s="50"/>
      <c r="H753" s="54"/>
      <c r="I753" s="55"/>
    </row>
    <row r="754" spans="1:9" s="4" customFormat="1">
      <c r="A754" s="64"/>
      <c r="B754" s="77"/>
      <c r="C754" s="50"/>
      <c r="D754" s="50"/>
      <c r="E754" s="50"/>
      <c r="F754" s="65"/>
      <c r="G754" s="50"/>
      <c r="H754" s="54"/>
      <c r="I754" s="55"/>
    </row>
    <row r="755" spans="1:9" s="4" customFormat="1">
      <c r="A755" s="64"/>
      <c r="B755" s="77"/>
      <c r="C755" s="50"/>
      <c r="D755" s="50"/>
      <c r="E755" s="50"/>
      <c r="F755" s="65"/>
      <c r="G755" s="50"/>
      <c r="H755" s="54"/>
      <c r="I755" s="55"/>
    </row>
    <row r="756" spans="1:9" s="4" customFormat="1">
      <c r="A756" s="64"/>
      <c r="B756" s="77"/>
      <c r="C756" s="50"/>
      <c r="D756" s="50"/>
      <c r="E756" s="50"/>
      <c r="F756" s="65"/>
      <c r="G756" s="50"/>
      <c r="H756" s="54"/>
      <c r="I756" s="55"/>
    </row>
    <row r="757" spans="1:9" s="4" customFormat="1">
      <c r="A757" s="64"/>
      <c r="B757" s="77"/>
      <c r="C757" s="50"/>
      <c r="D757" s="50"/>
      <c r="E757" s="50"/>
      <c r="F757" s="65"/>
      <c r="G757" s="50"/>
      <c r="H757" s="54"/>
      <c r="I757" s="55"/>
    </row>
    <row r="758" spans="1:9" s="4" customFormat="1">
      <c r="A758" s="64"/>
      <c r="B758" s="77"/>
      <c r="C758" s="50"/>
      <c r="D758" s="50"/>
      <c r="E758" s="50"/>
      <c r="F758" s="65"/>
      <c r="G758" s="50"/>
      <c r="H758" s="54"/>
      <c r="I758" s="55"/>
    </row>
    <row r="759" spans="1:9" s="4" customFormat="1">
      <c r="A759" s="64"/>
      <c r="B759" s="77"/>
      <c r="C759" s="50"/>
      <c r="D759" s="50"/>
      <c r="E759" s="50"/>
      <c r="F759" s="65"/>
      <c r="G759" s="50"/>
      <c r="H759" s="54"/>
      <c r="I759" s="55"/>
    </row>
    <row r="760" spans="1:9" s="4" customFormat="1">
      <c r="A760" s="64"/>
      <c r="B760" s="77"/>
      <c r="C760" s="50"/>
      <c r="D760" s="50"/>
      <c r="E760" s="50"/>
      <c r="F760" s="65"/>
      <c r="G760" s="50"/>
      <c r="H760" s="54"/>
      <c r="I760" s="55"/>
    </row>
    <row r="761" spans="1:9" s="4" customFormat="1">
      <c r="A761" s="64"/>
      <c r="B761" s="77"/>
      <c r="C761" s="50"/>
      <c r="D761" s="50"/>
      <c r="E761" s="50"/>
      <c r="F761" s="65"/>
      <c r="G761" s="50"/>
      <c r="H761" s="54"/>
      <c r="I761" s="55"/>
    </row>
    <row r="762" spans="1:9" s="4" customFormat="1">
      <c r="A762" s="64"/>
      <c r="B762" s="77"/>
      <c r="C762" s="50"/>
      <c r="D762" s="50"/>
      <c r="E762" s="50"/>
      <c r="F762" s="65"/>
      <c r="G762" s="50"/>
      <c r="H762" s="54"/>
      <c r="I762" s="55"/>
    </row>
    <row r="763" spans="1:9" s="4" customFormat="1">
      <c r="A763" s="64"/>
      <c r="B763" s="77"/>
      <c r="C763" s="50"/>
      <c r="D763" s="50"/>
      <c r="E763" s="50"/>
      <c r="F763" s="65"/>
      <c r="G763" s="50"/>
      <c r="H763" s="54"/>
      <c r="I763" s="55"/>
    </row>
    <row r="764" spans="1:9" s="4" customFormat="1">
      <c r="A764" s="64"/>
      <c r="B764" s="77"/>
      <c r="C764" s="50"/>
      <c r="D764" s="50"/>
      <c r="E764" s="50"/>
      <c r="F764" s="65"/>
      <c r="G764" s="50"/>
      <c r="H764" s="54"/>
      <c r="I764" s="55"/>
    </row>
    <row r="765" spans="1:9" s="4" customFormat="1">
      <c r="A765" s="64"/>
      <c r="B765" s="77"/>
      <c r="C765" s="50"/>
      <c r="D765" s="50"/>
      <c r="E765" s="50"/>
      <c r="F765" s="65"/>
      <c r="G765" s="50"/>
      <c r="H765" s="54"/>
      <c r="I765" s="55"/>
    </row>
    <row r="766" spans="1:9" s="4" customFormat="1">
      <c r="A766" s="64"/>
      <c r="B766" s="77"/>
      <c r="C766" s="50"/>
      <c r="D766" s="50"/>
      <c r="E766" s="50"/>
      <c r="F766" s="65"/>
      <c r="G766" s="50"/>
      <c r="H766" s="54"/>
      <c r="I766" s="55"/>
    </row>
    <row r="767" spans="1:9" s="4" customFormat="1">
      <c r="A767" s="82"/>
      <c r="B767" s="56"/>
      <c r="C767" s="56"/>
      <c r="D767" s="56"/>
      <c r="E767" s="56"/>
      <c r="F767" s="56"/>
      <c r="G767" s="56"/>
      <c r="H767" s="56"/>
      <c r="I767" s="56"/>
    </row>
    <row r="768" spans="1:9" s="4" customFormat="1">
      <c r="A768" s="36"/>
      <c r="B768" s="50"/>
      <c r="C768" s="50"/>
      <c r="D768" s="50"/>
      <c r="E768" s="50"/>
      <c r="F768" s="36"/>
      <c r="G768" s="36"/>
      <c r="H768" s="36"/>
      <c r="I768" s="36"/>
    </row>
    <row r="769" spans="1:9" s="4" customFormat="1">
      <c r="A769" s="36"/>
      <c r="B769" s="36"/>
      <c r="C769" s="78"/>
      <c r="D769" s="78"/>
      <c r="E769" s="79"/>
      <c r="F769" s="80"/>
      <c r="G769" s="78"/>
      <c r="H769" s="36"/>
      <c r="I769" s="81"/>
    </row>
    <row r="770" spans="1:9" s="4" customFormat="1" ht="12"/>
  </sheetData>
  <mergeCells count="87">
    <mergeCell ref="A666:C666"/>
    <mergeCell ref="I667:I668"/>
    <mergeCell ref="G677:G678"/>
    <mergeCell ref="A687:A688"/>
    <mergeCell ref="E687:F687"/>
    <mergeCell ref="G687:G688"/>
    <mergeCell ref="H687:H688"/>
    <mergeCell ref="I687:I688"/>
    <mergeCell ref="A719:C719"/>
    <mergeCell ref="I720:I721"/>
    <mergeCell ref="G730:G731"/>
    <mergeCell ref="A740:A741"/>
    <mergeCell ref="E740:F740"/>
    <mergeCell ref="G740:G741"/>
    <mergeCell ref="H740:H741"/>
    <mergeCell ref="I740:I741"/>
    <mergeCell ref="A559:C559"/>
    <mergeCell ref="I560:I561"/>
    <mergeCell ref="G570:G571"/>
    <mergeCell ref="A580:A581"/>
    <mergeCell ref="E580:F580"/>
    <mergeCell ref="G580:G581"/>
    <mergeCell ref="H580:H581"/>
    <mergeCell ref="I580:I581"/>
    <mergeCell ref="A613:C613"/>
    <mergeCell ref="I614:I615"/>
    <mergeCell ref="G624:G625"/>
    <mergeCell ref="A634:A635"/>
    <mergeCell ref="E634:F634"/>
    <mergeCell ref="G634:G635"/>
    <mergeCell ref="H634:H635"/>
    <mergeCell ref="I634:I635"/>
    <mergeCell ref="A451:C451"/>
    <mergeCell ref="I452:I453"/>
    <mergeCell ref="G462:G463"/>
    <mergeCell ref="A472:A473"/>
    <mergeCell ref="E472:F472"/>
    <mergeCell ref="G472:G473"/>
    <mergeCell ref="H472:H473"/>
    <mergeCell ref="I472:I473"/>
    <mergeCell ref="A505:C505"/>
    <mergeCell ref="I506:I507"/>
    <mergeCell ref="G516:G517"/>
    <mergeCell ref="A526:A527"/>
    <mergeCell ref="E526:F526"/>
    <mergeCell ref="G526:G527"/>
    <mergeCell ref="H526:H527"/>
    <mergeCell ref="I526:I527"/>
    <mergeCell ref="A344:C344"/>
    <mergeCell ref="I345:I346"/>
    <mergeCell ref="G355:G356"/>
    <mergeCell ref="A365:A366"/>
    <mergeCell ref="E365:F365"/>
    <mergeCell ref="G365:G366"/>
    <mergeCell ref="H365:H366"/>
    <mergeCell ref="I365:I366"/>
    <mergeCell ref="A397:C397"/>
    <mergeCell ref="I398:I399"/>
    <mergeCell ref="G408:G409"/>
    <mergeCell ref="A418:A419"/>
    <mergeCell ref="E418:F418"/>
    <mergeCell ref="G418:G419"/>
    <mergeCell ref="H418:H419"/>
    <mergeCell ref="I418:I419"/>
    <mergeCell ref="I310:I311"/>
    <mergeCell ref="A235:C235"/>
    <mergeCell ref="I236:I237"/>
    <mergeCell ref="G246:G247"/>
    <mergeCell ref="A256:A257"/>
    <mergeCell ref="E256:F256"/>
    <mergeCell ref="G256:G257"/>
    <mergeCell ref="H256:H257"/>
    <mergeCell ref="I256:I257"/>
    <mergeCell ref="G300:G301"/>
    <mergeCell ref="A310:A311"/>
    <mergeCell ref="E310:F310"/>
    <mergeCell ref="G310:G311"/>
    <mergeCell ref="H310:H311"/>
    <mergeCell ref="I290:I291"/>
    <mergeCell ref="Q3:R3"/>
    <mergeCell ref="S3:T3"/>
    <mergeCell ref="M3:N3"/>
    <mergeCell ref="A289:C289"/>
    <mergeCell ref="K3:L3"/>
    <mergeCell ref="G3:H3"/>
    <mergeCell ref="I3:J3"/>
    <mergeCell ref="O3:P3"/>
  </mergeCells>
  <pageMargins left="0.75" right="0.75" top="1" bottom="1" header="0.5" footer="0.5"/>
  <pageSetup paperSize="8" scale="50" pageOrder="overThenDown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AI773"/>
  <sheetViews>
    <sheetView showGridLines="0" zoomScaleNormal="100" workbookViewId="0">
      <pane ySplit="5" topLeftCell="A6" activePane="bottomLeft" state="frozen"/>
      <selection pane="bottomLeft"/>
    </sheetView>
  </sheetViews>
  <sheetFormatPr defaultRowHeight="12.75" outlineLevelCol="1"/>
  <cols>
    <col min="1" max="1" width="8.7109375" bestFit="1" customWidth="1"/>
    <col min="2" max="2" width="57.7109375" style="24" customWidth="1"/>
    <col min="3" max="3" width="11.42578125" style="25" bestFit="1" customWidth="1"/>
    <col min="4" max="4" width="11.5703125" style="25" bestFit="1" customWidth="1"/>
    <col min="5" max="5" width="14.42578125" bestFit="1" customWidth="1"/>
    <col min="6" max="7" width="12.28515625" customWidth="1"/>
    <col min="8" max="8" width="11.85546875" customWidth="1"/>
    <col min="9" max="9" width="12.28515625" customWidth="1"/>
    <col min="10" max="13" width="12.28515625" customWidth="1" outlineLevel="1"/>
    <col min="14" max="14" width="12.28515625" customWidth="1"/>
    <col min="15" max="18" width="12.28515625" customWidth="1" outlineLevel="1"/>
    <col min="19" max="19" width="12.28515625" customWidth="1"/>
    <col min="20" max="20" width="12.28515625" customWidth="1" outlineLevel="1"/>
  </cols>
  <sheetData>
    <row r="2" spans="1:21">
      <c r="E2" s="168">
        <v>0</v>
      </c>
      <c r="F2" s="168">
        <f t="shared" ref="F2:T2" si="0">E2+1</f>
        <v>1</v>
      </c>
      <c r="G2" s="168">
        <f t="shared" si="0"/>
        <v>2</v>
      </c>
      <c r="H2" s="168">
        <f t="shared" si="0"/>
        <v>3</v>
      </c>
      <c r="I2" s="168">
        <f t="shared" si="0"/>
        <v>4</v>
      </c>
      <c r="J2" s="168">
        <f t="shared" si="0"/>
        <v>5</v>
      </c>
      <c r="K2" s="168">
        <f t="shared" si="0"/>
        <v>6</v>
      </c>
      <c r="L2" s="168">
        <f t="shared" si="0"/>
        <v>7</v>
      </c>
      <c r="M2" s="168">
        <f t="shared" si="0"/>
        <v>8</v>
      </c>
      <c r="N2" s="168">
        <f t="shared" si="0"/>
        <v>9</v>
      </c>
      <c r="O2" s="168">
        <f t="shared" si="0"/>
        <v>10</v>
      </c>
      <c r="P2" s="168">
        <f t="shared" si="0"/>
        <v>11</v>
      </c>
      <c r="Q2" s="168">
        <f t="shared" si="0"/>
        <v>12</v>
      </c>
      <c r="R2" s="168">
        <f t="shared" si="0"/>
        <v>13</v>
      </c>
      <c r="S2" s="168">
        <f t="shared" si="0"/>
        <v>14</v>
      </c>
      <c r="T2" s="168">
        <f t="shared" si="0"/>
        <v>15</v>
      </c>
    </row>
    <row r="3" spans="1:21">
      <c r="A3" s="1"/>
      <c r="B3" s="667" t="s">
        <v>442</v>
      </c>
      <c r="C3" s="667"/>
      <c r="D3" s="382"/>
      <c r="E3" s="667"/>
      <c r="F3" s="667"/>
      <c r="G3" s="667"/>
      <c r="H3" s="667"/>
      <c r="I3" s="667"/>
      <c r="J3" s="667"/>
      <c r="K3" s="667"/>
      <c r="L3" s="667"/>
      <c r="M3" s="667"/>
      <c r="N3" s="667"/>
      <c r="O3" s="667"/>
      <c r="P3" s="667"/>
      <c r="Q3" s="667"/>
      <c r="R3" s="667"/>
      <c r="S3" s="667"/>
      <c r="T3" s="667"/>
      <c r="U3" s="1"/>
    </row>
    <row r="4" spans="1:21">
      <c r="A4" s="1"/>
      <c r="B4" s="100"/>
      <c r="C4" s="84"/>
      <c r="D4" s="84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"/>
    </row>
    <row r="5" spans="1:21">
      <c r="A5" s="1"/>
      <c r="B5" s="295" t="s">
        <v>13</v>
      </c>
      <c r="C5" s="296" t="s">
        <v>241</v>
      </c>
      <c r="D5" s="296" t="s">
        <v>15</v>
      </c>
      <c r="E5" s="297">
        <f>Założenia!E6</f>
        <v>2021</v>
      </c>
      <c r="F5" s="298">
        <f t="shared" ref="F5:T5" si="1">E5+1</f>
        <v>2022</v>
      </c>
      <c r="G5" s="298">
        <f t="shared" si="1"/>
        <v>2023</v>
      </c>
      <c r="H5" s="298">
        <f t="shared" si="1"/>
        <v>2024</v>
      </c>
      <c r="I5" s="298">
        <f t="shared" si="1"/>
        <v>2025</v>
      </c>
      <c r="J5" s="298">
        <f t="shared" si="1"/>
        <v>2026</v>
      </c>
      <c r="K5" s="298">
        <f t="shared" si="1"/>
        <v>2027</v>
      </c>
      <c r="L5" s="298">
        <f t="shared" si="1"/>
        <v>2028</v>
      </c>
      <c r="M5" s="298">
        <f t="shared" si="1"/>
        <v>2029</v>
      </c>
      <c r="N5" s="298">
        <f t="shared" si="1"/>
        <v>2030</v>
      </c>
      <c r="O5" s="298">
        <f t="shared" si="1"/>
        <v>2031</v>
      </c>
      <c r="P5" s="298">
        <f t="shared" si="1"/>
        <v>2032</v>
      </c>
      <c r="Q5" s="298">
        <f t="shared" si="1"/>
        <v>2033</v>
      </c>
      <c r="R5" s="298">
        <f t="shared" si="1"/>
        <v>2034</v>
      </c>
      <c r="S5" s="298">
        <f t="shared" si="1"/>
        <v>2035</v>
      </c>
      <c r="T5" s="298">
        <f t="shared" si="1"/>
        <v>2036</v>
      </c>
      <c r="U5" s="1"/>
    </row>
    <row r="6" spans="1:21">
      <c r="A6" s="1"/>
      <c r="B6" s="100"/>
      <c r="C6" s="84"/>
      <c r="D6" s="8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>
      <c r="A7" s="1"/>
      <c r="B7" s="100"/>
      <c r="C7" s="84"/>
      <c r="D7" s="84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"/>
    </row>
    <row r="8" spans="1:21" s="1" customFormat="1" ht="12">
      <c r="A8" s="269" t="s">
        <v>248</v>
      </c>
      <c r="B8" s="95" t="s">
        <v>276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1" s="26" customFormat="1">
      <c r="A9" s="108" t="s">
        <v>34</v>
      </c>
      <c r="B9" s="299" t="s">
        <v>299</v>
      </c>
      <c r="C9" s="214" t="s">
        <v>0</v>
      </c>
      <c r="D9" s="300"/>
      <c r="E9" s="125">
        <f>przychody!D7*1000000</f>
        <v>9037074.8387096804</v>
      </c>
      <c r="F9" s="125">
        <f>przychody!E7*1000000</f>
        <v>8513112.9032258075</v>
      </c>
      <c r="G9" s="125">
        <f>przychody!F7*1000000</f>
        <v>5613484.5161290327</v>
      </c>
      <c r="H9" s="125">
        <f>przychody!G7*1000000</f>
        <v>6366641.7773626596</v>
      </c>
      <c r="I9" s="125">
        <f>przychody!H7*1000000</f>
        <v>6742273.0504320581</v>
      </c>
      <c r="J9" s="125">
        <f>przychody!I7*1000000</f>
        <v>6986859.2351436988</v>
      </c>
      <c r="K9" s="125">
        <f>przychody!J7*1000000</f>
        <v>7154077.3085194221</v>
      </c>
      <c r="L9" s="125">
        <f>przychody!K7*1000000</f>
        <v>7269297.0262742862</v>
      </c>
      <c r="M9" s="125">
        <f>przychody!L7*1000000</f>
        <v>7423897.9180176072</v>
      </c>
      <c r="N9" s="125">
        <f>przychody!M7*1000000</f>
        <v>7553249.9995176541</v>
      </c>
      <c r="O9" s="125">
        <f>przychody!N7*1000000</f>
        <v>7662689.2755108653</v>
      </c>
      <c r="P9" s="125">
        <f>przychody!O7*1000000</f>
        <v>7755956.4678226411</v>
      </c>
      <c r="Q9" s="125">
        <f>przychody!P7*1000000</f>
        <v>7835783.7634866256</v>
      </c>
      <c r="R9" s="125">
        <f>przychody!Q7*1000000</f>
        <v>7958875.8729463294</v>
      </c>
      <c r="S9" s="125">
        <f>przychody!R7*1000000</f>
        <v>7958875.8729463294</v>
      </c>
      <c r="T9" s="125">
        <f>przychody!S7*1000000</f>
        <v>7958875.8729463294</v>
      </c>
      <c r="U9" s="13"/>
    </row>
    <row r="10" spans="1:21" s="26" customFormat="1">
      <c r="A10" s="108" t="s">
        <v>35</v>
      </c>
      <c r="B10" s="299" t="s">
        <v>75</v>
      </c>
      <c r="C10" s="214" t="s">
        <v>0</v>
      </c>
      <c r="D10" s="300"/>
      <c r="E10" s="125">
        <f t="shared" ref="E10:T10" si="2">E11+E40</f>
        <v>12298792.646329261</v>
      </c>
      <c r="F10" s="125">
        <f t="shared" si="2"/>
        <v>12356361.832291126</v>
      </c>
      <c r="G10" s="125">
        <f t="shared" si="2"/>
        <v>12411655.320090674</v>
      </c>
      <c r="H10" s="125">
        <f t="shared" si="2"/>
        <v>12466948.807890221</v>
      </c>
      <c r="I10" s="125">
        <f t="shared" si="2"/>
        <v>12522242.295689765</v>
      </c>
      <c r="J10" s="125">
        <f t="shared" si="2"/>
        <v>12577535.783489313</v>
      </c>
      <c r="K10" s="125">
        <f t="shared" si="2"/>
        <v>12678829.271288861</v>
      </c>
      <c r="L10" s="125">
        <f t="shared" si="2"/>
        <v>12193834.632154617</v>
      </c>
      <c r="M10" s="125">
        <f t="shared" si="2"/>
        <v>12243858.156396553</v>
      </c>
      <c r="N10" s="125">
        <f t="shared" si="2"/>
        <v>12293881.680638488</v>
      </c>
      <c r="O10" s="125">
        <f t="shared" si="2"/>
        <v>12343905.204880428</v>
      </c>
      <c r="P10" s="125">
        <f t="shared" si="2"/>
        <v>12393928.729122363</v>
      </c>
      <c r="Q10" s="125">
        <f t="shared" si="2"/>
        <v>12443952.253364298</v>
      </c>
      <c r="R10" s="125">
        <f t="shared" si="2"/>
        <v>12493975.777606234</v>
      </c>
      <c r="S10" s="125">
        <f t="shared" si="2"/>
        <v>12543999.301848169</v>
      </c>
      <c r="T10" s="125">
        <f t="shared" si="2"/>
        <v>12324128.462738264</v>
      </c>
      <c r="U10" s="13"/>
    </row>
    <row r="11" spans="1:21" s="26" customFormat="1">
      <c r="A11" s="108" t="s">
        <v>375</v>
      </c>
      <c r="B11" s="299" t="s">
        <v>374</v>
      </c>
      <c r="C11" s="214" t="s">
        <v>0</v>
      </c>
      <c r="D11" s="300"/>
      <c r="E11" s="125">
        <f>E12+E33+E35+E36+E37+E34</f>
        <v>10950076.108431185</v>
      </c>
      <c r="F11" s="125">
        <f t="shared" ref="F11:T11" si="3">F12+F33+F35+F36+F37+F34</f>
        <v>11007645.294393051</v>
      </c>
      <c r="G11" s="125">
        <f t="shared" si="3"/>
        <v>11062938.782192597</v>
      </c>
      <c r="H11" s="125">
        <f t="shared" si="3"/>
        <v>11118232.269992145</v>
      </c>
      <c r="I11" s="125">
        <f t="shared" si="3"/>
        <v>11173525.757791691</v>
      </c>
      <c r="J11" s="125">
        <f t="shared" si="3"/>
        <v>11228819.245591238</v>
      </c>
      <c r="K11" s="125">
        <f t="shared" si="3"/>
        <v>11330112.733390786</v>
      </c>
      <c r="L11" s="125">
        <f t="shared" si="3"/>
        <v>10845118.094256543</v>
      </c>
      <c r="M11" s="125">
        <f t="shared" si="3"/>
        <v>10895141.618498478</v>
      </c>
      <c r="N11" s="125">
        <f t="shared" si="3"/>
        <v>10945165.142740414</v>
      </c>
      <c r="O11" s="125">
        <f t="shared" si="3"/>
        <v>10995188.666982351</v>
      </c>
      <c r="P11" s="125">
        <f t="shared" si="3"/>
        <v>11045212.191224286</v>
      </c>
      <c r="Q11" s="125">
        <f t="shared" si="3"/>
        <v>11095235.715466222</v>
      </c>
      <c r="R11" s="125">
        <f t="shared" si="3"/>
        <v>11145259.239708159</v>
      </c>
      <c r="S11" s="125">
        <f t="shared" si="3"/>
        <v>11195282.763950095</v>
      </c>
      <c r="T11" s="125">
        <f t="shared" si="3"/>
        <v>10975411.92484019</v>
      </c>
      <c r="U11" s="13"/>
    </row>
    <row r="12" spans="1:21" s="13" customFormat="1" ht="12">
      <c r="A12" s="108" t="s">
        <v>49</v>
      </c>
      <c r="B12" s="118" t="s">
        <v>80</v>
      </c>
      <c r="C12" s="301" t="s">
        <v>0</v>
      </c>
      <c r="D12" s="302"/>
      <c r="E12" s="22">
        <f t="shared" ref="E12:T12" si="4">E13+E15+E24</f>
        <v>2210847.2693271409</v>
      </c>
      <c r="F12" s="22">
        <f t="shared" si="4"/>
        <v>2233758.494420765</v>
      </c>
      <c r="G12" s="22">
        <f t="shared" si="4"/>
        <v>2254957.0614370648</v>
      </c>
      <c r="H12" s="22">
        <f t="shared" si="4"/>
        <v>2276155.6284533646</v>
      </c>
      <c r="I12" s="22">
        <f t="shared" si="4"/>
        <v>2297354.1954696649</v>
      </c>
      <c r="J12" s="22">
        <f t="shared" si="4"/>
        <v>2318552.7624859652</v>
      </c>
      <c r="K12" s="22">
        <f t="shared" si="4"/>
        <v>2339751.329502265</v>
      </c>
      <c r="L12" s="22">
        <f t="shared" si="4"/>
        <v>2082230.4950789073</v>
      </c>
      <c r="M12" s="22">
        <f t="shared" si="4"/>
        <v>2101408.6492022015</v>
      </c>
      <c r="N12" s="22">
        <f t="shared" si="4"/>
        <v>2120586.8033254957</v>
      </c>
      <c r="O12" s="22">
        <f t="shared" si="4"/>
        <v>2139764.9574487898</v>
      </c>
      <c r="P12" s="22">
        <f t="shared" si="4"/>
        <v>2158943.1115720836</v>
      </c>
      <c r="Q12" s="22">
        <f t="shared" si="4"/>
        <v>2178121.2656953777</v>
      </c>
      <c r="R12" s="22">
        <f t="shared" si="4"/>
        <v>2197299.4198186719</v>
      </c>
      <c r="S12" s="22">
        <f t="shared" si="4"/>
        <v>2216477.5739419661</v>
      </c>
      <c r="T12" s="22">
        <f t="shared" si="4"/>
        <v>2132182.8965163245</v>
      </c>
    </row>
    <row r="13" spans="1:21" s="1" customFormat="1" ht="12">
      <c r="A13" s="96" t="s">
        <v>56</v>
      </c>
      <c r="B13" s="109" t="s">
        <v>277</v>
      </c>
      <c r="C13" s="214" t="s">
        <v>0</v>
      </c>
      <c r="D13" s="300"/>
      <c r="E13" s="23">
        <f>Założenia!$E$213+E14</f>
        <v>138358</v>
      </c>
      <c r="F13" s="23">
        <f>Założenia!$E$213+F14</f>
        <v>138358</v>
      </c>
      <c r="G13" s="23">
        <f>Założenia!$E$213+G14</f>
        <v>138358</v>
      </c>
      <c r="H13" s="23">
        <f>Założenia!$E$213+H14</f>
        <v>138358</v>
      </c>
      <c r="I13" s="23">
        <f>Założenia!$E$213+I14</f>
        <v>138358</v>
      </c>
      <c r="J13" s="23">
        <f>Założenia!$E$213+J14</f>
        <v>138358</v>
      </c>
      <c r="K13" s="23">
        <f>Założenia!$E$213+K14</f>
        <v>138358</v>
      </c>
      <c r="L13" s="23">
        <f>Założenia!$E$213+L14</f>
        <v>552942.10000000009</v>
      </c>
      <c r="M13" s="23">
        <f>Założenia!$E$213+M14</f>
        <v>552942.10000000009</v>
      </c>
      <c r="N13" s="23">
        <f>Założenia!$E$213+N14</f>
        <v>552942.10000000009</v>
      </c>
      <c r="O13" s="23">
        <f>Założenia!$E$213+O14</f>
        <v>552942.10000000009</v>
      </c>
      <c r="P13" s="23">
        <f>Założenia!$E$213+P14</f>
        <v>552942.10000000009</v>
      </c>
      <c r="Q13" s="23">
        <f>Założenia!$E$213+Q14</f>
        <v>552942.10000000009</v>
      </c>
      <c r="R13" s="23">
        <f>Założenia!$E$213+R14</f>
        <v>552942.10000000009</v>
      </c>
      <c r="S13" s="23">
        <f>Założenia!$E$213+S14</f>
        <v>552942.10000000009</v>
      </c>
      <c r="T13" s="23">
        <f>Założenia!$E$213+T14</f>
        <v>552942.10000000009</v>
      </c>
    </row>
    <row r="14" spans="1:21" s="28" customFormat="1" ht="12">
      <c r="A14" s="96"/>
      <c r="B14" s="109" t="s">
        <v>228</v>
      </c>
      <c r="C14" s="214" t="s">
        <v>0</v>
      </c>
      <c r="D14" s="300"/>
      <c r="E14" s="23">
        <f>Założenia!D312*Założenia!D323*Założenia!$E$184*Założenia!$E$176*(1+Założenia!$E$121)</f>
        <v>0</v>
      </c>
      <c r="F14" s="23">
        <f>Założenia!E312*Założenia!E323*Założenia!$E$184*Założenia!$E$176*(1+Założenia!$E$121)</f>
        <v>0</v>
      </c>
      <c r="G14" s="23">
        <f>Założenia!F312*Założenia!F323*Założenia!$E$184*Założenia!$E$176*(1+Założenia!$E$121)</f>
        <v>0</v>
      </c>
      <c r="H14" s="23">
        <f>Założenia!G312*Założenia!G323*Założenia!$E$184*Założenia!$E$176*(1+Założenia!$E$121)</f>
        <v>0</v>
      </c>
      <c r="I14" s="23">
        <f>Założenia!H312*Założenia!H323*Założenia!$E$184*Założenia!$E$176*(1+Założenia!$E$121)</f>
        <v>0</v>
      </c>
      <c r="J14" s="23">
        <f>Założenia!I312*Założenia!I323*Założenia!$E$184*Założenia!$E$176*(1+Założenia!$E$121)</f>
        <v>0</v>
      </c>
      <c r="K14" s="23">
        <f>Założenia!J312*Założenia!J323*Założenia!$E$184*Założenia!$E$176*(1+Założenia!$E$121)</f>
        <v>0</v>
      </c>
      <c r="L14" s="23">
        <f>Założenia!K312*Założenia!K323*Założenia!$E$184*Założenia!$E$176*(1+Założenia!$E$121)</f>
        <v>414584.10000000009</v>
      </c>
      <c r="M14" s="23">
        <f>Założenia!L312*Założenia!L323*Założenia!$E$184*Założenia!$E$176*(1+Założenia!$E$121)</f>
        <v>414584.10000000009</v>
      </c>
      <c r="N14" s="23">
        <f>Założenia!M312*Założenia!M323*Założenia!$E$184*Założenia!$E$176*(1+Założenia!$E$121)</f>
        <v>414584.10000000009</v>
      </c>
      <c r="O14" s="23">
        <f>Założenia!N312*Założenia!N323*Założenia!$E$184*Założenia!$E$176*(1+Założenia!$E$121)</f>
        <v>414584.10000000009</v>
      </c>
      <c r="P14" s="23">
        <f>Założenia!O312*Założenia!O323*Założenia!$E$184*Założenia!$E$176*(1+Założenia!$E$121)</f>
        <v>414584.10000000009</v>
      </c>
      <c r="Q14" s="23">
        <f>Założenia!P312*Założenia!P323*Założenia!$E$184*Założenia!$E$176*(1+Założenia!$E$121)</f>
        <v>414584.10000000009</v>
      </c>
      <c r="R14" s="23">
        <f>Założenia!Q312*Założenia!Q323*Założenia!$E$184*Założenia!$E$176*(1+Założenia!$E$121)</f>
        <v>414584.10000000009</v>
      </c>
      <c r="S14" s="23">
        <f>Założenia!R312*Założenia!R323*Założenia!$E$184*Założenia!$E$176*(1+Założenia!$E$121)</f>
        <v>414584.10000000009</v>
      </c>
      <c r="T14" s="23">
        <f>Założenia!S312*Założenia!S323*Założenia!$E$184*Założenia!$E$176*(1+Założenia!$E$121)</f>
        <v>414584.10000000009</v>
      </c>
      <c r="U14" s="1"/>
    </row>
    <row r="15" spans="1:21" s="1" customFormat="1" ht="12">
      <c r="A15" s="96" t="s">
        <v>57</v>
      </c>
      <c r="B15" s="109" t="s">
        <v>211</v>
      </c>
      <c r="C15" s="214" t="s">
        <v>0</v>
      </c>
      <c r="D15" s="300"/>
      <c r="E15" s="23">
        <f>E16</f>
        <v>1648868</v>
      </c>
      <c r="F15" s="23">
        <f t="shared" ref="F15:T15" si="5">F16</f>
        <v>1650230.5870784642</v>
      </c>
      <c r="G15" s="23">
        <f t="shared" si="5"/>
        <v>1650230.5870784642</v>
      </c>
      <c r="H15" s="23">
        <f t="shared" si="5"/>
        <v>1650230.5870784642</v>
      </c>
      <c r="I15" s="23">
        <f t="shared" si="5"/>
        <v>1650230.5870784642</v>
      </c>
      <c r="J15" s="23">
        <f t="shared" si="5"/>
        <v>1650230.5870784642</v>
      </c>
      <c r="K15" s="23">
        <f t="shared" si="5"/>
        <v>1650230.5870784642</v>
      </c>
      <c r="L15" s="23">
        <f t="shared" si="5"/>
        <v>1127950.4380597291</v>
      </c>
      <c r="M15" s="23">
        <f t="shared" si="5"/>
        <v>1127950.4380597291</v>
      </c>
      <c r="N15" s="23">
        <f t="shared" si="5"/>
        <v>1127950.4380597291</v>
      </c>
      <c r="O15" s="23">
        <f t="shared" si="5"/>
        <v>1127950.4380597291</v>
      </c>
      <c r="P15" s="23">
        <f t="shared" si="5"/>
        <v>1127950.4380597291</v>
      </c>
      <c r="Q15" s="23">
        <f t="shared" si="5"/>
        <v>1127950.4380597291</v>
      </c>
      <c r="R15" s="23">
        <f t="shared" si="5"/>
        <v>1127950.4380597291</v>
      </c>
      <c r="S15" s="23">
        <f t="shared" si="5"/>
        <v>1127950.4380597291</v>
      </c>
      <c r="T15" s="23">
        <f t="shared" si="5"/>
        <v>1127950.4380597291</v>
      </c>
    </row>
    <row r="16" spans="1:21" s="1" customFormat="1" ht="12">
      <c r="A16" s="96" t="s">
        <v>348</v>
      </c>
      <c r="B16" s="109" t="s">
        <v>343</v>
      </c>
      <c r="C16" s="214" t="s">
        <v>0</v>
      </c>
      <c r="D16" s="300"/>
      <c r="E16" s="23">
        <f>SUM(E17:E23)</f>
        <v>1648868</v>
      </c>
      <c r="F16" s="23">
        <f t="shared" ref="F16:T16" si="6">SUM(F17:F23)</f>
        <v>1650230.5870784642</v>
      </c>
      <c r="G16" s="23">
        <f t="shared" si="6"/>
        <v>1650230.5870784642</v>
      </c>
      <c r="H16" s="23">
        <f t="shared" si="6"/>
        <v>1650230.5870784642</v>
      </c>
      <c r="I16" s="23">
        <f t="shared" si="6"/>
        <v>1650230.5870784642</v>
      </c>
      <c r="J16" s="23">
        <f t="shared" si="6"/>
        <v>1650230.5870784642</v>
      </c>
      <c r="K16" s="23">
        <f t="shared" si="6"/>
        <v>1650230.5870784642</v>
      </c>
      <c r="L16" s="23">
        <f t="shared" si="6"/>
        <v>1127950.4380597291</v>
      </c>
      <c r="M16" s="23">
        <f t="shared" si="6"/>
        <v>1127950.4380597291</v>
      </c>
      <c r="N16" s="23">
        <f t="shared" si="6"/>
        <v>1127950.4380597291</v>
      </c>
      <c r="O16" s="23">
        <f t="shared" si="6"/>
        <v>1127950.4380597291</v>
      </c>
      <c r="P16" s="23">
        <f t="shared" si="6"/>
        <v>1127950.4380597291</v>
      </c>
      <c r="Q16" s="23">
        <f t="shared" si="6"/>
        <v>1127950.4380597291</v>
      </c>
      <c r="R16" s="23">
        <f t="shared" si="6"/>
        <v>1127950.4380597291</v>
      </c>
      <c r="S16" s="23">
        <f t="shared" si="6"/>
        <v>1127950.4380597291</v>
      </c>
      <c r="T16" s="23">
        <f t="shared" si="6"/>
        <v>1127950.4380597291</v>
      </c>
    </row>
    <row r="17" spans="1:20" s="1" customFormat="1" ht="12">
      <c r="A17" s="96"/>
      <c r="B17" s="109" t="s">
        <v>426</v>
      </c>
      <c r="C17" s="214" t="s">
        <v>0</v>
      </c>
      <c r="D17" s="300"/>
      <c r="E17" s="23">
        <f>(Założenia!D305*Założenia!D321*Założenia!$G53/100)*Założenia!$E$175</f>
        <v>0</v>
      </c>
      <c r="F17" s="23">
        <f>(Założenia!E305*Założenia!E321*Założenia!$G53/100)*Założenia!$E$175</f>
        <v>0</v>
      </c>
      <c r="G17" s="23">
        <f>(Założenia!F305*Założenia!F321*Założenia!$G53/100)*Założenia!$E$175</f>
        <v>0</v>
      </c>
      <c r="H17" s="23">
        <f>(Założenia!G305*Założenia!G321*Założenia!$G53/100)*Założenia!$E$175</f>
        <v>0</v>
      </c>
      <c r="I17" s="23">
        <f>(Założenia!H305*Założenia!H321*Założenia!$G53/100)*Założenia!$E$175</f>
        <v>0</v>
      </c>
      <c r="J17" s="23">
        <f>(Założenia!I305*Założenia!I321*Założenia!$G53/100)*Założenia!$E$175</f>
        <v>0</v>
      </c>
      <c r="K17" s="23">
        <f>(Założenia!J305*Założenia!J321*Założenia!$G53/100)*Założenia!$E$175</f>
        <v>0</v>
      </c>
      <c r="L17" s="23">
        <f>(Założenia!K305*Założenia!K321*Założenia!$G53/100)*Założenia!$E$175</f>
        <v>0</v>
      </c>
      <c r="M17" s="23">
        <f>(Założenia!L305*Założenia!L321*Założenia!$G53/100)*Założenia!$E$175</f>
        <v>0</v>
      </c>
      <c r="N17" s="23">
        <f>(Założenia!M305*Założenia!M321*Założenia!$G53/100)*Założenia!$E$175</f>
        <v>0</v>
      </c>
      <c r="O17" s="23">
        <f>(Założenia!N305*Założenia!N321*Założenia!$G53/100)*Założenia!$E$175</f>
        <v>0</v>
      </c>
      <c r="P17" s="23">
        <f>(Założenia!O305*Założenia!O321*Założenia!$G53/100)*Założenia!$E$175</f>
        <v>0</v>
      </c>
      <c r="Q17" s="23">
        <f>(Założenia!P305*Założenia!P321*Założenia!$G53/100)*Założenia!$E$175</f>
        <v>0</v>
      </c>
      <c r="R17" s="23">
        <f>(Założenia!Q305*Założenia!Q321*Założenia!$G53/100)*Założenia!$E$175</f>
        <v>0</v>
      </c>
      <c r="S17" s="23">
        <f>(Założenia!R305*Założenia!R321*Założenia!$G53/100)*Założenia!$E$175</f>
        <v>0</v>
      </c>
      <c r="T17" s="23">
        <f>(Założenia!S305*Założenia!S321*Założenia!$G53/100)*Założenia!$E$175</f>
        <v>0</v>
      </c>
    </row>
    <row r="18" spans="1:20" s="1" customFormat="1" ht="12">
      <c r="A18" s="96"/>
      <c r="B18" s="109" t="s">
        <v>432</v>
      </c>
      <c r="C18" s="214" t="s">
        <v>0</v>
      </c>
      <c r="D18" s="300"/>
      <c r="E18" s="23">
        <f>(Założenia!D306*Założenia!D321*Założenia!$G54/100)*Założenia!$E$175</f>
        <v>0</v>
      </c>
      <c r="F18" s="23">
        <f>(Założenia!E306*Założenia!E321*Założenia!$G54/100)*Założenia!$E$175</f>
        <v>0</v>
      </c>
      <c r="G18" s="23">
        <f>(Założenia!F306*Założenia!F321*Założenia!$G54/100)*Założenia!$E$175</f>
        <v>0</v>
      </c>
      <c r="H18" s="23">
        <f>(Założenia!G306*Założenia!G321*Założenia!$G54/100)*Założenia!$E$175</f>
        <v>0</v>
      </c>
      <c r="I18" s="23">
        <f>(Założenia!H306*Założenia!H321*Założenia!$G54/100)*Założenia!$E$175</f>
        <v>0</v>
      </c>
      <c r="J18" s="23">
        <f>(Założenia!I306*Założenia!I321*Założenia!$G54/100)*Założenia!$E$175</f>
        <v>0</v>
      </c>
      <c r="K18" s="23">
        <f>(Założenia!J306*Założenia!J321*Założenia!$G54/100)*Założenia!$E$175</f>
        <v>0</v>
      </c>
      <c r="L18" s="23">
        <f>(Założenia!K306*Założenia!K321*Założenia!$G54/100)*Założenia!$E$175</f>
        <v>0</v>
      </c>
      <c r="M18" s="23">
        <f>(Założenia!L306*Założenia!L321*Założenia!$G54/100)*Założenia!$E$175</f>
        <v>0</v>
      </c>
      <c r="N18" s="23">
        <f>(Założenia!M306*Założenia!M321*Założenia!$G54/100)*Założenia!$E$175</f>
        <v>0</v>
      </c>
      <c r="O18" s="23">
        <f>(Założenia!N306*Założenia!N321*Założenia!$G54/100)*Założenia!$E$175</f>
        <v>0</v>
      </c>
      <c r="P18" s="23">
        <f>(Założenia!O306*Założenia!O321*Założenia!$G54/100)*Założenia!$E$175</f>
        <v>0</v>
      </c>
      <c r="Q18" s="23">
        <f>(Założenia!P306*Założenia!P321*Założenia!$G54/100)*Założenia!$E$175</f>
        <v>0</v>
      </c>
      <c r="R18" s="23">
        <f>(Założenia!Q306*Założenia!Q321*Założenia!$G54/100)*Założenia!$E$175</f>
        <v>0</v>
      </c>
      <c r="S18" s="23">
        <f>(Założenia!R306*Założenia!R321*Założenia!$G54/100)*Założenia!$E$175</f>
        <v>0</v>
      </c>
      <c r="T18" s="23">
        <f>(Założenia!S306*Założenia!S321*Założenia!$G54/100)*Założenia!$E$175</f>
        <v>0</v>
      </c>
    </row>
    <row r="19" spans="1:20" s="1" customFormat="1" ht="12">
      <c r="A19" s="96"/>
      <c r="B19" s="109" t="s">
        <v>427</v>
      </c>
      <c r="C19" s="214" t="s">
        <v>0</v>
      </c>
      <c r="D19" s="300"/>
      <c r="E19" s="23">
        <f>(Założenia!D307*Założenia!D321*Założenia!$G55/100)*Założenia!$E$175</f>
        <v>0</v>
      </c>
      <c r="F19" s="23">
        <f>(Założenia!E307*Założenia!E321*Założenia!$G55/100)*Założenia!$E$175</f>
        <v>0</v>
      </c>
      <c r="G19" s="23">
        <f>(Założenia!F307*Założenia!F321*Założenia!$G55/100)*Założenia!$E$175</f>
        <v>0</v>
      </c>
      <c r="H19" s="23">
        <f>(Założenia!G307*Założenia!G321*Założenia!$G55/100)*Założenia!$E$175</f>
        <v>0</v>
      </c>
      <c r="I19" s="23">
        <f>(Założenia!H307*Założenia!H321*Założenia!$G55/100)*Założenia!$E$175</f>
        <v>0</v>
      </c>
      <c r="J19" s="23">
        <f>(Założenia!I307*Założenia!I321*Założenia!$G55/100)*Założenia!$E$175</f>
        <v>0</v>
      </c>
      <c r="K19" s="23">
        <f>(Założenia!J307*Założenia!J321*Założenia!$G55/100)*Założenia!$E$175</f>
        <v>0</v>
      </c>
      <c r="L19" s="23">
        <f>(Założenia!K307*Założenia!K321*Założenia!$G55/100)*Założenia!$E$175</f>
        <v>0</v>
      </c>
      <c r="M19" s="23">
        <f>(Założenia!L307*Założenia!L321*Założenia!$G55/100)*Założenia!$E$175</f>
        <v>0</v>
      </c>
      <c r="N19" s="23">
        <f>(Założenia!M307*Założenia!M321*Założenia!$G55/100)*Założenia!$E$175</f>
        <v>0</v>
      </c>
      <c r="O19" s="23">
        <f>(Założenia!N307*Założenia!N321*Założenia!$G55/100)*Założenia!$E$175</f>
        <v>0</v>
      </c>
      <c r="P19" s="23">
        <f>(Założenia!O307*Założenia!O321*Założenia!$G55/100)*Założenia!$E$175</f>
        <v>0</v>
      </c>
      <c r="Q19" s="23">
        <f>(Założenia!P307*Założenia!P321*Założenia!$G55/100)*Założenia!$E$175</f>
        <v>0</v>
      </c>
      <c r="R19" s="23">
        <f>(Założenia!Q307*Założenia!Q321*Założenia!$G55/100)*Założenia!$E$175</f>
        <v>0</v>
      </c>
      <c r="S19" s="23">
        <f>(Założenia!R307*Założenia!R321*Założenia!$G55/100)*Założenia!$E$175</f>
        <v>0</v>
      </c>
      <c r="T19" s="23">
        <f>(Założenia!S307*Założenia!S321*Założenia!$G55/100)*Założenia!$E$175</f>
        <v>0</v>
      </c>
    </row>
    <row r="20" spans="1:20" s="1" customFormat="1" ht="12">
      <c r="A20" s="96"/>
      <c r="B20" s="109" t="s">
        <v>428</v>
      </c>
      <c r="C20" s="214" t="s">
        <v>0</v>
      </c>
      <c r="D20" s="300"/>
      <c r="E20" s="23">
        <f>(Założenia!D308*Założenia!D321*Założenia!$G56/100)*Założenia!$E$175</f>
        <v>0</v>
      </c>
      <c r="F20" s="23">
        <f>(Założenia!E308*Założenia!E321*Założenia!$G56/100)*Założenia!$E$175</f>
        <v>0</v>
      </c>
      <c r="G20" s="23">
        <f>(Założenia!F308*Założenia!F321*Założenia!$G56/100)*Założenia!$E$175</f>
        <v>0</v>
      </c>
      <c r="H20" s="23">
        <f>(Założenia!G308*Założenia!G321*Założenia!$G56/100)*Założenia!$E$175</f>
        <v>0</v>
      </c>
      <c r="I20" s="23">
        <f>(Założenia!H308*Założenia!H321*Założenia!$G56/100)*Założenia!$E$175</f>
        <v>0</v>
      </c>
      <c r="J20" s="23">
        <f>(Założenia!I308*Założenia!I321*Założenia!$G56/100)*Założenia!$E$175</f>
        <v>0</v>
      </c>
      <c r="K20" s="23">
        <f>(Założenia!J308*Założenia!J321*Założenia!$G56/100)*Założenia!$E$175</f>
        <v>0</v>
      </c>
      <c r="L20" s="23">
        <f>(Założenia!K308*Założenia!K321*Założenia!$G56/100)*Założenia!$E$175</f>
        <v>0</v>
      </c>
      <c r="M20" s="23">
        <f>(Założenia!L308*Założenia!L321*Założenia!$G56/100)*Założenia!$E$175</f>
        <v>0</v>
      </c>
      <c r="N20" s="23">
        <f>(Założenia!M308*Założenia!M321*Założenia!$G56/100)*Założenia!$E$175</f>
        <v>0</v>
      </c>
      <c r="O20" s="23">
        <f>(Założenia!N308*Założenia!N321*Założenia!$G56/100)*Założenia!$E$175</f>
        <v>0</v>
      </c>
      <c r="P20" s="23">
        <f>(Założenia!O308*Założenia!O321*Założenia!$G56/100)*Założenia!$E$175</f>
        <v>0</v>
      </c>
      <c r="Q20" s="23">
        <f>(Założenia!P308*Założenia!P321*Założenia!$G56/100)*Założenia!$E$175</f>
        <v>0</v>
      </c>
      <c r="R20" s="23">
        <f>(Założenia!Q308*Założenia!Q321*Założenia!$G56/100)*Założenia!$E$175</f>
        <v>0</v>
      </c>
      <c r="S20" s="23">
        <f>(Założenia!R308*Założenia!R321*Założenia!$G56/100)*Założenia!$E$175</f>
        <v>0</v>
      </c>
      <c r="T20" s="23">
        <f>(Założenia!S308*Założenia!S321*Założenia!$G56/100)*Założenia!$E$175</f>
        <v>0</v>
      </c>
    </row>
    <row r="21" spans="1:20" s="1" customFormat="1" ht="12">
      <c r="A21" s="96"/>
      <c r="B21" s="109" t="s">
        <v>429</v>
      </c>
      <c r="C21" s="214" t="s">
        <v>0</v>
      </c>
      <c r="D21" s="300"/>
      <c r="E21" s="23">
        <f>(Założenia!D309*Założenia!D321*Założenia!$G57/100)*Założenia!$E$175</f>
        <v>0</v>
      </c>
      <c r="F21" s="23">
        <f>(Założenia!E309*Założenia!E321*Założenia!$G57/100)*Założenia!$E$175</f>
        <v>0</v>
      </c>
      <c r="G21" s="23">
        <f>(Założenia!F309*Założenia!F321*Założenia!$G57/100)*Założenia!$E$175</f>
        <v>0</v>
      </c>
      <c r="H21" s="23">
        <f>(Założenia!G309*Założenia!G321*Założenia!$G57/100)*Założenia!$E$175</f>
        <v>0</v>
      </c>
      <c r="I21" s="23">
        <f>(Założenia!H309*Założenia!H321*Założenia!$G57/100)*Założenia!$E$175</f>
        <v>0</v>
      </c>
      <c r="J21" s="23">
        <f>(Założenia!I309*Założenia!I321*Założenia!$G57/100)*Założenia!$E$175</f>
        <v>0</v>
      </c>
      <c r="K21" s="23">
        <f>(Założenia!J309*Założenia!J321*Założenia!$G57/100)*Założenia!$E$175</f>
        <v>0</v>
      </c>
      <c r="L21" s="23">
        <f>(Założenia!K309*Założenia!K321*Założenia!$G57/100)*Założenia!$E$175</f>
        <v>0</v>
      </c>
      <c r="M21" s="23">
        <f>(Założenia!L309*Założenia!L321*Założenia!$G57/100)*Założenia!$E$175</f>
        <v>0</v>
      </c>
      <c r="N21" s="23">
        <f>(Założenia!M309*Założenia!M321*Założenia!$G57/100)*Założenia!$E$175</f>
        <v>0</v>
      </c>
      <c r="O21" s="23">
        <f>(Założenia!N309*Założenia!N321*Założenia!$G57/100)*Założenia!$E$175</f>
        <v>0</v>
      </c>
      <c r="P21" s="23">
        <f>(Założenia!O309*Założenia!O321*Założenia!$G57/100)*Założenia!$E$175</f>
        <v>0</v>
      </c>
      <c r="Q21" s="23">
        <f>(Założenia!P309*Założenia!P321*Założenia!$G57/100)*Założenia!$E$175</f>
        <v>0</v>
      </c>
      <c r="R21" s="23">
        <f>(Założenia!Q309*Założenia!Q321*Założenia!$G57/100)*Założenia!$E$175</f>
        <v>0</v>
      </c>
      <c r="S21" s="23">
        <f>(Założenia!R309*Założenia!R321*Założenia!$G57/100)*Założenia!$E$175</f>
        <v>0</v>
      </c>
      <c r="T21" s="23">
        <f>(Założenia!S309*Założenia!S321*Założenia!$G57/100)*Założenia!$E$175</f>
        <v>0</v>
      </c>
    </row>
    <row r="22" spans="1:20" s="1" customFormat="1" ht="12">
      <c r="A22" s="96"/>
      <c r="B22" s="109" t="s">
        <v>430</v>
      </c>
      <c r="C22" s="214" t="s">
        <v>0</v>
      </c>
      <c r="D22" s="300"/>
      <c r="E22" s="23">
        <f>(Założenia!D310*Założenia!D$321*Założenia!$G58/100)*Założenia!$E$175+(Założenia!D302*Założenia!D320*Założenia!$E$58/100)*Założenia!$E$175</f>
        <v>1648868</v>
      </c>
      <c r="F22" s="23">
        <f>(Założenia!E310*Założenia!E$321*Założenia!$G58/100)*Założenia!$E$175+(Założenia!E302*Założenia!E320*Założenia!$E$58/100)*Założenia!$E$175</f>
        <v>1650230.5870784642</v>
      </c>
      <c r="G22" s="23">
        <f>(Założenia!F310*Założenia!F$321*Założenia!$G58/100)*Założenia!$E$175+(Założenia!F302*Założenia!F320*Założenia!$E$58/100)*Założenia!$E$175</f>
        <v>1650230.5870784642</v>
      </c>
      <c r="H22" s="23">
        <f>(Założenia!G310*Założenia!G$321*Założenia!$G58/100)*Założenia!$E$175+(Założenia!G302*Założenia!G320*Założenia!$E$58/100)*Założenia!$E$175</f>
        <v>1650230.5870784642</v>
      </c>
      <c r="I22" s="23">
        <f>(Założenia!H310*Założenia!H$321*Założenia!$G58/100)*Założenia!$E$175+(Założenia!H302*Założenia!H320*Założenia!$E$58/100)*Założenia!$E$175</f>
        <v>1650230.5870784642</v>
      </c>
      <c r="J22" s="23">
        <f>(Założenia!I310*Założenia!I$321*Założenia!$G58/100)*Założenia!$E$175+(Założenia!I302*Założenia!I320*Założenia!$E$58/100)*Założenia!$E$175</f>
        <v>1650230.5870784642</v>
      </c>
      <c r="K22" s="23">
        <f>(Założenia!J310*Założenia!J$321*Założenia!$G58/100)*Założenia!$E$175+(Założenia!J302*Założenia!J320*Założenia!$E$58/100)*Założenia!$E$175</f>
        <v>1650230.5870784642</v>
      </c>
      <c r="L22" s="23">
        <f>(Założenia!K310*Założenia!K$321*Założenia!$G58/100)*Założenia!$E$175+(Założenia!K302*Założenia!K320*Założenia!$E$58/100)*Założenia!$E$175</f>
        <v>1127950.4380597291</v>
      </c>
      <c r="M22" s="23">
        <f>(Założenia!L310*Założenia!L$321*Założenia!$G58/100)*Założenia!$E$175+(Założenia!L302*Założenia!L320*Założenia!$E$58/100)*Założenia!$E$175</f>
        <v>1127950.4380597291</v>
      </c>
      <c r="N22" s="23">
        <f>(Założenia!M310*Założenia!M$321*Założenia!$G58/100)*Założenia!$E$175+(Założenia!M302*Założenia!M320*Założenia!$E$58/100)*Założenia!$E$175</f>
        <v>1127950.4380597291</v>
      </c>
      <c r="O22" s="23">
        <f>(Założenia!N310*Założenia!N$321*Założenia!$G58/100)*Założenia!$E$175+(Założenia!N302*Założenia!N320*Założenia!$E$58/100)*Założenia!$E$175</f>
        <v>1127950.4380597291</v>
      </c>
      <c r="P22" s="23">
        <f>(Założenia!O310*Założenia!O$321*Założenia!$G58/100)*Założenia!$E$175+(Założenia!O302*Założenia!O320*Założenia!$E$58/100)*Założenia!$E$175</f>
        <v>1127950.4380597291</v>
      </c>
      <c r="Q22" s="23">
        <f>(Założenia!P310*Założenia!P$321*Założenia!$G58/100)*Założenia!$E$175+(Założenia!P302*Założenia!P320*Założenia!$E$58/100)*Założenia!$E$175</f>
        <v>1127950.4380597291</v>
      </c>
      <c r="R22" s="23">
        <f>(Założenia!Q310*Założenia!Q$321*Założenia!$G58/100)*Założenia!$E$175+(Założenia!Q302*Założenia!Q320*Założenia!$E$58/100)*Założenia!$E$175</f>
        <v>1127950.4380597291</v>
      </c>
      <c r="S22" s="23">
        <f>(Założenia!R310*Założenia!R$321*Założenia!$G58/100)*Założenia!$E$175+(Założenia!R302*Założenia!R320*Założenia!$E$58/100)*Założenia!$E$175</f>
        <v>1127950.4380597291</v>
      </c>
      <c r="T22" s="23">
        <f>(Założenia!S310*Założenia!S$321*Założenia!$G58/100)*Założenia!$E$175+(Założenia!S302*Założenia!S320*Założenia!$E$58/100)*Założenia!$E$175</f>
        <v>1127950.4380597291</v>
      </c>
    </row>
    <row r="23" spans="1:20" s="1" customFormat="1" ht="12">
      <c r="A23" s="96"/>
      <c r="B23" s="109" t="s">
        <v>431</v>
      </c>
      <c r="C23" s="214" t="s">
        <v>0</v>
      </c>
      <c r="D23" s="300"/>
      <c r="E23" s="23">
        <f>(Założenia!D311*Założenia!D$322*Założenia!$G59/100)*Założenia!$E$175</f>
        <v>0</v>
      </c>
      <c r="F23" s="23">
        <f>(Założenia!E311*Założenia!E$322*Założenia!$G59/100)*Założenia!$E$175</f>
        <v>0</v>
      </c>
      <c r="G23" s="23">
        <f>(Założenia!F311*Założenia!F$322*Założenia!$G59/100)*Założenia!$E$175</f>
        <v>0</v>
      </c>
      <c r="H23" s="23">
        <f>(Założenia!G311*Założenia!G$322*Założenia!$G59/100)*Założenia!$E$175</f>
        <v>0</v>
      </c>
      <c r="I23" s="23">
        <f>(Założenia!H311*Założenia!H$322*Założenia!$G59/100)*Założenia!$E$175</f>
        <v>0</v>
      </c>
      <c r="J23" s="23">
        <f>(Założenia!I311*Założenia!I$322*Założenia!$G59/100)*Założenia!$E$175</f>
        <v>0</v>
      </c>
      <c r="K23" s="23">
        <f>(Założenia!J311*Założenia!J$322*Założenia!$G59/100)*Założenia!$E$175</f>
        <v>0</v>
      </c>
      <c r="L23" s="23">
        <f>(Założenia!K311*Założenia!K$322*Założenia!$G59/100)*Założenia!$E$175</f>
        <v>0</v>
      </c>
      <c r="M23" s="23">
        <f>(Założenia!L311*Założenia!L$322*Założenia!$G59/100)*Założenia!$E$175</f>
        <v>0</v>
      </c>
      <c r="N23" s="23">
        <f>(Założenia!M311*Założenia!M$322*Założenia!$G59/100)*Założenia!$E$175</f>
        <v>0</v>
      </c>
      <c r="O23" s="23">
        <f>(Założenia!N311*Założenia!N$322*Założenia!$G59/100)*Założenia!$E$175</f>
        <v>0</v>
      </c>
      <c r="P23" s="23">
        <f>(Założenia!O311*Założenia!O$322*Założenia!$G59/100)*Założenia!$E$175</f>
        <v>0</v>
      </c>
      <c r="Q23" s="23">
        <f>(Założenia!P311*Założenia!P$322*Założenia!$G59/100)*Założenia!$E$175</f>
        <v>0</v>
      </c>
      <c r="R23" s="23">
        <f>(Założenia!Q311*Założenia!Q$322*Założenia!$G59/100)*Założenia!$E$175</f>
        <v>0</v>
      </c>
      <c r="S23" s="23">
        <f>(Założenia!R311*Założenia!R$322*Założenia!$G59/100)*Założenia!$E$175</f>
        <v>0</v>
      </c>
      <c r="T23" s="23">
        <f>(Założenia!S311*Założenia!S$322*Założenia!$G59/100)*Założenia!$E$175</f>
        <v>0</v>
      </c>
    </row>
    <row r="24" spans="1:20" s="1" customFormat="1" ht="12">
      <c r="A24" s="96" t="s">
        <v>160</v>
      </c>
      <c r="B24" s="109" t="s">
        <v>275</v>
      </c>
      <c r="C24" s="214" t="s">
        <v>0</v>
      </c>
      <c r="D24" s="300"/>
      <c r="E24" s="23">
        <f>(E25+E32)*(1+(Założenia!D324-Założenia!$D$324)*Założenia!$E$182)</f>
        <v>423621.26932714082</v>
      </c>
      <c r="F24" s="23">
        <f>(F25+F32)*(1+(Założenia!E324-Założenia!$D$324)*Założenia!$E$182)</f>
        <v>445169.90734230058</v>
      </c>
      <c r="G24" s="23">
        <f>(G25+G32)*(1+(Założenia!F324-Założenia!$D$324)*Założenia!$E$182)</f>
        <v>466368.47435860062</v>
      </c>
      <c r="H24" s="23">
        <f>(H25+H32)*(1+(Założenia!G324-Założenia!$D$324)*Założenia!$E$182)</f>
        <v>487567.04137490055</v>
      </c>
      <c r="I24" s="23">
        <f>(I25+I32)*(1+(Założenia!H324-Założenia!$D$324)*Założenia!$E$182)</f>
        <v>508765.6083912006</v>
      </c>
      <c r="J24" s="23">
        <f>(J25+J32)*(1+(Założenia!I324-Założenia!$D$324)*Założenia!$E$182)</f>
        <v>529964.1754075007</v>
      </c>
      <c r="K24" s="23">
        <f>(K25+K32)*(1+(Założenia!J324-Założenia!$D$324)*Założenia!$E$182)</f>
        <v>551162.74242380075</v>
      </c>
      <c r="L24" s="23">
        <f>(L25+L32)*(1+(Założenia!K324-Założenia!$D$324)*Założenia!$E$182)</f>
        <v>401337.95701917831</v>
      </c>
      <c r="M24" s="23">
        <f>(M25+M32)*(1+(Założenia!L324-Założenia!$D$324)*Założenia!$E$182)</f>
        <v>420516.11114247242</v>
      </c>
      <c r="N24" s="23">
        <f>(N25+N32)*(1+(Założenia!M324-Założenia!$D$324)*Założenia!$E$182)</f>
        <v>439694.26526576641</v>
      </c>
      <c r="O24" s="23">
        <f>(O25+O32)*(1+(Założenia!N324-Założenia!$D$324)*Założenia!$E$182)</f>
        <v>458872.41938906047</v>
      </c>
      <c r="P24" s="23">
        <f>(P25+P32)*(1+(Założenia!O324-Założenia!$D$324)*Założenia!$E$182)</f>
        <v>478050.57351235457</v>
      </c>
      <c r="Q24" s="23">
        <f>(Q25+Q32)*(1+(Założenia!P324-Założenia!$D$324)*Założenia!$E$182)</f>
        <v>497228.72763564868</v>
      </c>
      <c r="R24" s="23">
        <f>(R25+R32)*(1+(Założenia!Q324-Założenia!$D$324)*Założenia!$E$182)</f>
        <v>516406.88175894273</v>
      </c>
      <c r="S24" s="23">
        <f>(S25+S32)*(1+(Założenia!R324-Założenia!$D$324)*Założenia!$E$182)</f>
        <v>535585.03588223679</v>
      </c>
      <c r="T24" s="23">
        <f>(T25+T32)*(1+(Założenia!S324-Założenia!$D$324)*Założenia!$E$182)</f>
        <v>451290.35845659545</v>
      </c>
    </row>
    <row r="25" spans="1:20" s="1" customFormat="1" ht="12">
      <c r="A25" s="96"/>
      <c r="B25" s="110" t="s">
        <v>343</v>
      </c>
      <c r="C25" s="214" t="s">
        <v>0</v>
      </c>
      <c r="D25" s="300"/>
      <c r="E25" s="23">
        <f>SUM(E26:E31)</f>
        <v>423621.26932714082</v>
      </c>
      <c r="F25" s="23">
        <f t="shared" ref="F25:T25" si="7">SUM(F26:F31)</f>
        <v>423971.34032600053</v>
      </c>
      <c r="G25" s="23">
        <f>SUM(G26:G31)</f>
        <v>423971.34032600053</v>
      </c>
      <c r="H25" s="23">
        <f t="shared" si="7"/>
        <v>423971.34032600053</v>
      </c>
      <c r="I25" s="23">
        <f t="shared" si="7"/>
        <v>423971.34032600053</v>
      </c>
      <c r="J25" s="23">
        <f t="shared" si="7"/>
        <v>423971.34032600053</v>
      </c>
      <c r="K25" s="23">
        <f t="shared" si="7"/>
        <v>423971.34032600053</v>
      </c>
      <c r="L25" s="23">
        <f t="shared" si="7"/>
        <v>289125.21987702831</v>
      </c>
      <c r="M25" s="23">
        <f t="shared" si="7"/>
        <v>289125.21987702831</v>
      </c>
      <c r="N25" s="23">
        <f t="shared" si="7"/>
        <v>289125.21987702831</v>
      </c>
      <c r="O25" s="23">
        <f t="shared" si="7"/>
        <v>289125.21987702831</v>
      </c>
      <c r="P25" s="23">
        <f t="shared" si="7"/>
        <v>289125.21987702831</v>
      </c>
      <c r="Q25" s="23">
        <f t="shared" si="7"/>
        <v>289125.21987702831</v>
      </c>
      <c r="R25" s="23">
        <f t="shared" si="7"/>
        <v>289125.21987702831</v>
      </c>
      <c r="S25" s="23">
        <f t="shared" si="7"/>
        <v>289125.21987702831</v>
      </c>
      <c r="T25" s="23">
        <f t="shared" si="7"/>
        <v>289125.21987702831</v>
      </c>
    </row>
    <row r="26" spans="1:20" s="1" customFormat="1" ht="12">
      <c r="A26" s="96"/>
      <c r="B26" s="109" t="s">
        <v>426</v>
      </c>
      <c r="C26" s="214" t="s">
        <v>0</v>
      </c>
      <c r="D26" s="300"/>
      <c r="E26" s="23">
        <f>((Założenia!D305*Założenia!D$321)*Założenia!$E$177)</f>
        <v>0</v>
      </c>
      <c r="F26" s="23">
        <f>((Założenia!E305*Założenia!E$321)*Założenia!$E$177)</f>
        <v>0</v>
      </c>
      <c r="G26" s="23">
        <f>((Założenia!F305*Założenia!F$321)*Założenia!$E$177)</f>
        <v>0</v>
      </c>
      <c r="H26" s="23">
        <f>((Założenia!G305*Założenia!G$321)*Założenia!$E$177)</f>
        <v>0</v>
      </c>
      <c r="I26" s="23">
        <f>((Założenia!H305*Założenia!H$321)*Założenia!$E$177)</f>
        <v>0</v>
      </c>
      <c r="J26" s="23">
        <f>((Założenia!I305*Założenia!I$321)*Założenia!$E$177)</f>
        <v>0</v>
      </c>
      <c r="K26" s="23">
        <f>((Założenia!J305*Założenia!J$321)*Założenia!$E$177)</f>
        <v>0</v>
      </c>
      <c r="L26" s="23">
        <f>((Założenia!K305*Założenia!K$321)*Założenia!$E$177)</f>
        <v>0</v>
      </c>
      <c r="M26" s="23">
        <f>((Założenia!L305*Założenia!L$321)*Założenia!$E$177)</f>
        <v>0</v>
      </c>
      <c r="N26" s="23">
        <f>((Założenia!M305*Założenia!M$321)*Założenia!$E$177)</f>
        <v>0</v>
      </c>
      <c r="O26" s="23">
        <f>((Założenia!N305*Założenia!N$321)*Założenia!$E$177)</f>
        <v>0</v>
      </c>
      <c r="P26" s="23">
        <f>((Założenia!O305*Założenia!O$321)*Założenia!$E$177)</f>
        <v>0</v>
      </c>
      <c r="Q26" s="23">
        <f>((Założenia!P305*Założenia!P$321)*Założenia!$E$177)</f>
        <v>0</v>
      </c>
      <c r="R26" s="23">
        <f>((Założenia!Q305*Założenia!Q$321)*Założenia!$E$177)</f>
        <v>0</v>
      </c>
      <c r="S26" s="23">
        <f>((Założenia!R305*Założenia!R$321)*Założenia!$E$177)</f>
        <v>0</v>
      </c>
      <c r="T26" s="23">
        <f>((Założenia!S305*Założenia!S$321)*Założenia!$E$177)</f>
        <v>0</v>
      </c>
    </row>
    <row r="27" spans="1:20" s="1" customFormat="1" ht="12">
      <c r="A27" s="96"/>
      <c r="B27" s="109" t="s">
        <v>432</v>
      </c>
      <c r="C27" s="214" t="s">
        <v>0</v>
      </c>
      <c r="D27" s="300"/>
      <c r="E27" s="23">
        <f>((Założenia!D306*Założenia!D$321)*Założenia!$E$177)</f>
        <v>0</v>
      </c>
      <c r="F27" s="23">
        <f>((Założenia!E306*Założenia!E$321)*Założenia!$E$177)</f>
        <v>0</v>
      </c>
      <c r="G27" s="23">
        <f>((Założenia!F306*Założenia!F$321)*Założenia!$E$177)</f>
        <v>0</v>
      </c>
      <c r="H27" s="23">
        <f>((Założenia!G306*Założenia!G$321)*Założenia!$E$177)</f>
        <v>0</v>
      </c>
      <c r="I27" s="23">
        <f>((Założenia!H306*Założenia!H$321)*Założenia!$E$177)</f>
        <v>0</v>
      </c>
      <c r="J27" s="23">
        <f>((Założenia!I306*Założenia!I$321)*Założenia!$E$177)</f>
        <v>0</v>
      </c>
      <c r="K27" s="23">
        <f>((Założenia!J306*Założenia!J$321)*Założenia!$E$177)</f>
        <v>0</v>
      </c>
      <c r="L27" s="23">
        <f>((Założenia!K306*Założenia!K$321)*Założenia!$E$177)</f>
        <v>0</v>
      </c>
      <c r="M27" s="23">
        <f>((Założenia!L306*Założenia!L$321)*Założenia!$E$177)</f>
        <v>0</v>
      </c>
      <c r="N27" s="23">
        <f>((Założenia!M306*Założenia!M$321)*Założenia!$E$177)</f>
        <v>0</v>
      </c>
      <c r="O27" s="23">
        <f>((Założenia!N306*Założenia!N$321)*Założenia!$E$177)</f>
        <v>0</v>
      </c>
      <c r="P27" s="23">
        <f>((Założenia!O306*Założenia!O$321)*Założenia!$E$177)</f>
        <v>0</v>
      </c>
      <c r="Q27" s="23">
        <f>((Założenia!P306*Założenia!P$321)*Założenia!$E$177)</f>
        <v>0</v>
      </c>
      <c r="R27" s="23">
        <f>((Założenia!Q306*Założenia!Q$321)*Założenia!$E$177)</f>
        <v>0</v>
      </c>
      <c r="S27" s="23">
        <f>((Założenia!R306*Założenia!R$321)*Założenia!$E$177)</f>
        <v>0</v>
      </c>
      <c r="T27" s="23">
        <f>((Założenia!S306*Założenia!S$321)*Założenia!$E$177)</f>
        <v>0</v>
      </c>
    </row>
    <row r="28" spans="1:20" s="1" customFormat="1" ht="12">
      <c r="A28" s="96"/>
      <c r="B28" s="109" t="s">
        <v>427</v>
      </c>
      <c r="C28" s="214" t="s">
        <v>0</v>
      </c>
      <c r="D28" s="300"/>
      <c r="E28" s="23">
        <f>((Założenia!D307*Założenia!D$321)*Założenia!$E$177)</f>
        <v>0</v>
      </c>
      <c r="F28" s="23">
        <f>((Założenia!E307*Założenia!E$321)*Założenia!$E$177)</f>
        <v>0</v>
      </c>
      <c r="G28" s="23">
        <f>((Założenia!F307*Założenia!F$321)*Założenia!$E$177)</f>
        <v>0</v>
      </c>
      <c r="H28" s="23">
        <f>((Założenia!G307*Założenia!G$321)*Założenia!$E$177)</f>
        <v>0</v>
      </c>
      <c r="I28" s="23">
        <f>((Założenia!H307*Założenia!H$321)*Założenia!$E$177)</f>
        <v>0</v>
      </c>
      <c r="J28" s="23">
        <f>((Założenia!I307*Założenia!I$321)*Założenia!$E$177)</f>
        <v>0</v>
      </c>
      <c r="K28" s="23">
        <f>((Założenia!J307*Założenia!J$321)*Założenia!$E$177)</f>
        <v>0</v>
      </c>
      <c r="L28" s="23">
        <f>((Założenia!K307*Założenia!K$321)*Założenia!$E$177)</f>
        <v>0</v>
      </c>
      <c r="M28" s="23">
        <f>((Założenia!L307*Założenia!L$321)*Założenia!$E$177)</f>
        <v>0</v>
      </c>
      <c r="N28" s="23">
        <f>((Założenia!M307*Założenia!M$321)*Założenia!$E$177)</f>
        <v>0</v>
      </c>
      <c r="O28" s="23">
        <f>((Założenia!N307*Założenia!N$321)*Założenia!$E$177)</f>
        <v>0</v>
      </c>
      <c r="P28" s="23">
        <f>((Założenia!O307*Założenia!O$321)*Założenia!$E$177)</f>
        <v>0</v>
      </c>
      <c r="Q28" s="23">
        <f>((Założenia!P307*Założenia!P$321)*Założenia!$E$177)</f>
        <v>0</v>
      </c>
      <c r="R28" s="23">
        <f>((Założenia!Q307*Założenia!Q$321)*Założenia!$E$177)</f>
        <v>0</v>
      </c>
      <c r="S28" s="23">
        <f>((Założenia!R307*Założenia!R$321)*Założenia!$E$177)</f>
        <v>0</v>
      </c>
      <c r="T28" s="23">
        <f>((Założenia!S307*Założenia!S$321)*Założenia!$E$177)</f>
        <v>0</v>
      </c>
    </row>
    <row r="29" spans="1:20" s="1" customFormat="1" ht="12">
      <c r="A29" s="96"/>
      <c r="B29" s="109" t="s">
        <v>428</v>
      </c>
      <c r="C29" s="214" t="s">
        <v>0</v>
      </c>
      <c r="D29" s="300"/>
      <c r="E29" s="23">
        <f>((Założenia!D308*Założenia!D$321)*Założenia!$E$177)</f>
        <v>0</v>
      </c>
      <c r="F29" s="23">
        <f>((Założenia!E308*Założenia!E$321)*Założenia!$E$177)</f>
        <v>0</v>
      </c>
      <c r="G29" s="23">
        <f>((Założenia!F308*Założenia!F$321)*Założenia!$E$177)</f>
        <v>0</v>
      </c>
      <c r="H29" s="23">
        <f>((Założenia!G308*Założenia!G$321)*Założenia!$E$177)</f>
        <v>0</v>
      </c>
      <c r="I29" s="23">
        <f>((Założenia!H308*Założenia!H$321)*Założenia!$E$177)</f>
        <v>0</v>
      </c>
      <c r="J29" s="23">
        <f>((Założenia!I308*Założenia!I$321)*Założenia!$E$177)</f>
        <v>0</v>
      </c>
      <c r="K29" s="23">
        <f>((Założenia!J308*Założenia!J$321)*Założenia!$E$177)</f>
        <v>0</v>
      </c>
      <c r="L29" s="23">
        <f>((Założenia!K308*Założenia!K$321)*Założenia!$E$177)</f>
        <v>0</v>
      </c>
      <c r="M29" s="23">
        <f>((Założenia!L308*Założenia!L$321)*Założenia!$E$177)</f>
        <v>0</v>
      </c>
      <c r="N29" s="23">
        <f>((Założenia!M308*Założenia!M$321)*Założenia!$E$177)</f>
        <v>0</v>
      </c>
      <c r="O29" s="23">
        <f>((Założenia!N308*Założenia!N$321)*Założenia!$E$177)</f>
        <v>0</v>
      </c>
      <c r="P29" s="23">
        <f>((Założenia!O308*Założenia!O$321)*Założenia!$E$177)</f>
        <v>0</v>
      </c>
      <c r="Q29" s="23">
        <f>((Założenia!P308*Założenia!P$321)*Założenia!$E$177)</f>
        <v>0</v>
      </c>
      <c r="R29" s="23">
        <f>((Założenia!Q308*Założenia!Q$321)*Założenia!$E$177)</f>
        <v>0</v>
      </c>
      <c r="S29" s="23">
        <f>((Założenia!R308*Założenia!R$321)*Założenia!$E$177)</f>
        <v>0</v>
      </c>
      <c r="T29" s="23">
        <f>((Założenia!S308*Założenia!S$321)*Założenia!$E$177)</f>
        <v>0</v>
      </c>
    </row>
    <row r="30" spans="1:20" s="1" customFormat="1" ht="12">
      <c r="A30" s="96"/>
      <c r="B30" s="109" t="s">
        <v>429</v>
      </c>
      <c r="C30" s="214" t="s">
        <v>0</v>
      </c>
      <c r="D30" s="300"/>
      <c r="E30" s="23">
        <f>((Założenia!D309*Założenia!D$321)*Założenia!$E$177)</f>
        <v>0</v>
      </c>
      <c r="F30" s="23">
        <f>((Założenia!E309*Założenia!E$321)*Założenia!$E$177)</f>
        <v>0</v>
      </c>
      <c r="G30" s="23">
        <f>((Założenia!F309*Założenia!F$321)*Założenia!$E$177)</f>
        <v>0</v>
      </c>
      <c r="H30" s="23">
        <f>((Założenia!G309*Założenia!G$321)*Założenia!$E$177)</f>
        <v>0</v>
      </c>
      <c r="I30" s="23">
        <f>((Założenia!H309*Założenia!H$321)*Założenia!$E$177)</f>
        <v>0</v>
      </c>
      <c r="J30" s="23">
        <f>((Założenia!I309*Założenia!I$321)*Założenia!$E$177)</f>
        <v>0</v>
      </c>
      <c r="K30" s="23">
        <f>((Założenia!J309*Założenia!J$321)*Założenia!$E$177)</f>
        <v>0</v>
      </c>
      <c r="L30" s="23">
        <f>((Założenia!K309*Założenia!K$321)*Założenia!$E$177)</f>
        <v>0</v>
      </c>
      <c r="M30" s="23">
        <f>((Założenia!L309*Założenia!L$321)*Założenia!$E$177)</f>
        <v>0</v>
      </c>
      <c r="N30" s="23">
        <f>((Założenia!M309*Założenia!M$321)*Założenia!$E$177)</f>
        <v>0</v>
      </c>
      <c r="O30" s="23">
        <f>((Założenia!N309*Założenia!N$321)*Założenia!$E$177)</f>
        <v>0</v>
      </c>
      <c r="P30" s="23">
        <f>((Założenia!O309*Założenia!O$321)*Założenia!$E$177)</f>
        <v>0</v>
      </c>
      <c r="Q30" s="23">
        <f>((Założenia!P309*Założenia!P$321)*Założenia!$E$177)</f>
        <v>0</v>
      </c>
      <c r="R30" s="23">
        <f>((Założenia!Q309*Założenia!Q$321)*Założenia!$E$177)</f>
        <v>0</v>
      </c>
      <c r="S30" s="23">
        <f>((Założenia!R309*Założenia!R$321)*Założenia!$E$177)</f>
        <v>0</v>
      </c>
      <c r="T30" s="23">
        <f>((Założenia!S309*Założenia!S$321)*Założenia!$E$177)</f>
        <v>0</v>
      </c>
    </row>
    <row r="31" spans="1:20" s="1" customFormat="1" ht="12">
      <c r="A31" s="96"/>
      <c r="B31" s="109" t="s">
        <v>433</v>
      </c>
      <c r="C31" s="214" t="s">
        <v>0</v>
      </c>
      <c r="D31" s="300"/>
      <c r="E31" s="23">
        <f>(Założenia!D310*Założenia!D321+Założenia!D311*Założenia!D322+Założenia!D302*Założenia!D320)*Założenia!$E$177</f>
        <v>423621.26932714082</v>
      </c>
      <c r="F31" s="23">
        <f>(Założenia!E310*Założenia!E321+Założenia!E311*Założenia!E322+Założenia!E302*Założenia!E320)*Założenia!$E$177</f>
        <v>423971.34032600053</v>
      </c>
      <c r="G31" s="23">
        <f>(Założenia!F310*Założenia!F321+Założenia!F311*Założenia!F322+Założenia!F302*Założenia!F320)*Założenia!$E$177</f>
        <v>423971.34032600053</v>
      </c>
      <c r="H31" s="23">
        <f>(Założenia!G310*Założenia!G321+Założenia!G311*Założenia!G322+Założenia!G302*Założenia!G320)*Założenia!$E$177</f>
        <v>423971.34032600053</v>
      </c>
      <c r="I31" s="23">
        <f>(Założenia!H310*Założenia!H321+Założenia!H311*Założenia!H322+Założenia!H302*Założenia!H320)*Założenia!$E$177</f>
        <v>423971.34032600053</v>
      </c>
      <c r="J31" s="23">
        <f>(Założenia!I310*Założenia!I321+Założenia!I311*Założenia!I322+Założenia!I302*Założenia!I320)*Założenia!$E$177</f>
        <v>423971.34032600053</v>
      </c>
      <c r="K31" s="23">
        <f>(Założenia!J310*Założenia!J321+Założenia!J311*Założenia!J322+Założenia!J302*Założenia!J320)*Założenia!$E$177</f>
        <v>423971.34032600053</v>
      </c>
      <c r="L31" s="23">
        <f>(Założenia!K310*Założenia!K321+Założenia!K311*Założenia!K322+Założenia!K302*Założenia!K320)*Założenia!$E$177</f>
        <v>289125.21987702831</v>
      </c>
      <c r="M31" s="23">
        <f>(Założenia!L310*Założenia!L321+Założenia!L311*Założenia!L322+Założenia!L302*Założenia!L320)*Założenia!$E$177</f>
        <v>289125.21987702831</v>
      </c>
      <c r="N31" s="23">
        <f>(Założenia!M310*Założenia!M321+Założenia!M311*Założenia!M322+Założenia!M302*Założenia!M320)*Założenia!$E$177</f>
        <v>289125.21987702831</v>
      </c>
      <c r="O31" s="23">
        <f>(Założenia!N310*Założenia!N321+Założenia!N311*Założenia!N322+Założenia!N302*Założenia!N320)*Założenia!$E$177</f>
        <v>289125.21987702831</v>
      </c>
      <c r="P31" s="23">
        <f>(Założenia!O310*Założenia!O321+Założenia!O311*Założenia!O322+Założenia!O302*Założenia!O320)*Założenia!$E$177</f>
        <v>289125.21987702831</v>
      </c>
      <c r="Q31" s="23">
        <f>(Założenia!P310*Założenia!P321+Założenia!P311*Założenia!P322+Założenia!P302*Założenia!P320)*Założenia!$E$177</f>
        <v>289125.21987702831</v>
      </c>
      <c r="R31" s="23">
        <f>(Założenia!Q310*Założenia!Q321+Założenia!Q311*Założenia!Q322+Założenia!Q302*Założenia!Q320)*Założenia!$E$177</f>
        <v>289125.21987702831</v>
      </c>
      <c r="S31" s="23">
        <f>(Założenia!R310*Założenia!R321+Założenia!R311*Założenia!R322+Założenia!R302*Założenia!R320)*Założenia!$E$177</f>
        <v>289125.21987702831</v>
      </c>
      <c r="T31" s="23">
        <f>(Założenia!S310*Założenia!S321+Założenia!S311*Założenia!S322+Założenia!S302*Założenia!S320)*Założenia!$E$177</f>
        <v>289125.21987702831</v>
      </c>
    </row>
    <row r="32" spans="1:20" s="1" customFormat="1" ht="12">
      <c r="A32" s="96"/>
      <c r="B32" s="109" t="s">
        <v>342</v>
      </c>
      <c r="C32" s="214" t="s">
        <v>0</v>
      </c>
      <c r="D32" s="300"/>
      <c r="E32" s="23">
        <f>Założenia!D312*Założenia!D323*Założenia!$E$177*Założenia!$E$180</f>
        <v>0</v>
      </c>
      <c r="F32" s="23">
        <f>Założenia!E312*Założenia!E323*Założenia!$E$177*Założenia!$E$180</f>
        <v>0</v>
      </c>
      <c r="G32" s="23">
        <f>Założenia!F312*Założenia!F323*Założenia!$E$177*Założenia!$E$180</f>
        <v>0</v>
      </c>
      <c r="H32" s="23">
        <f>Założenia!G312*Założenia!G323*Założenia!$E$177*Założenia!$E$180</f>
        <v>0</v>
      </c>
      <c r="I32" s="23">
        <f>Założenia!H312*Założenia!H323*Założenia!$E$177*Założenia!$E$180</f>
        <v>0</v>
      </c>
      <c r="J32" s="23">
        <f>Założenia!I312*Założenia!I323*Założenia!$E$177*Założenia!$E$180</f>
        <v>0</v>
      </c>
      <c r="K32" s="23">
        <f>Założenia!J312*Założenia!J323*Założenia!$E$177*Założenia!$E$180</f>
        <v>0</v>
      </c>
      <c r="L32" s="23">
        <f>Założenia!K312*Założenia!K323*Założenia!$E$177*Założenia!$E$180</f>
        <v>94437.862588853051</v>
      </c>
      <c r="M32" s="23">
        <f>Założenia!L312*Założenia!L323*Założenia!$E$177*Założenia!$E$180</f>
        <v>94437.862588853051</v>
      </c>
      <c r="N32" s="23">
        <f>Założenia!M312*Założenia!M323*Założenia!$E$177*Założenia!$E$180</f>
        <v>94437.862588853051</v>
      </c>
      <c r="O32" s="23">
        <f>Założenia!N312*Założenia!N323*Założenia!$E$177*Założenia!$E$180</f>
        <v>94437.862588853051</v>
      </c>
      <c r="P32" s="23">
        <f>Założenia!O312*Założenia!O323*Założenia!$E$177*Założenia!$E$180</f>
        <v>94437.862588853051</v>
      </c>
      <c r="Q32" s="23">
        <f>Założenia!P312*Założenia!P323*Założenia!$E$177*Założenia!$E$180</f>
        <v>94437.862588853051</v>
      </c>
      <c r="R32" s="23">
        <f>Założenia!Q312*Założenia!Q323*Założenia!$E$177*Założenia!$E$180</f>
        <v>94437.862588853051</v>
      </c>
      <c r="S32" s="23">
        <f>Założenia!R312*Założenia!R323*Założenia!$E$177*Założenia!$E$180</f>
        <v>94437.862588853051</v>
      </c>
      <c r="T32" s="23">
        <f>Założenia!S312*Założenia!S323*Założenia!$E$177*Założenia!$E$180</f>
        <v>94437.862588853051</v>
      </c>
    </row>
    <row r="33" spans="1:21" s="13" customFormat="1" ht="12">
      <c r="A33" s="108" t="s">
        <v>50</v>
      </c>
      <c r="B33" s="118" t="s">
        <v>7</v>
      </c>
      <c r="C33" s="301" t="s">
        <v>0</v>
      </c>
      <c r="D33" s="302"/>
      <c r="E33" s="22">
        <f>((SUM(Założenia!D305:D309)*Założenia!D321)*Założenia!$E$178+(Założenia!D310*Założenia!D321+Założenia!D311*Założenia!D322+Założenia!D302*Założenia!D320)*Założenia!$E$178+(Założenia!D312*Założenia!D323)*Założenia!$E$178*Założenia!$E$180)*(1+(Założenia!D324-Założenia!$D$324)*Założenia!$E$182)+Opcje!E69*Założenia!$E$197+Opcje!E70*Założenia!$E$196</f>
        <v>681335.37557993992</v>
      </c>
      <c r="F33" s="22">
        <f>((SUM(Założenia!E305:E309)*Założenia!E321)*Założenia!$E$178+(Założenia!E310*Założenia!E321+Założenia!E311*Założenia!E322+Założenia!E302*Założenia!E320)*Założenia!$E$178+(Założenia!E312*Założenia!E323)*Założenia!$E$178*Założenia!$E$180)*(1+(Założenia!E324-Założenia!$D$324)*Założenia!$E$182)+Opcje!F69*Założenia!$E$197+Opcje!F70*Założenia!$E$196</f>
        <v>715993.33644818177</v>
      </c>
      <c r="G33" s="22">
        <f>((SUM(Założenia!F305:F309)*Założenia!F321)*Założenia!$E$178+(Założenia!F310*Założenia!F321+Założenia!F311*Założenia!F322+Założenia!F302*Założenia!F320)*Założenia!$E$178+(Założenia!F312*Założenia!F323)*Założenia!$E$178*Założenia!$E$180)*(1+(Założenia!F324-Założenia!$D$324)*Założenia!$E$182)+Opcje!G69*Założenia!$E$197+Opcje!G70*Założenia!$E$196</f>
        <v>750088.25723142864</v>
      </c>
      <c r="H33" s="22">
        <f>((SUM(Założenia!G305:G309)*Założenia!G321)*Założenia!$E$178+(Założenia!G310*Założenia!G321+Założenia!G311*Założenia!G322+Założenia!G302*Założenia!G320)*Założenia!$E$178+(Założenia!G312*Założenia!G323)*Założenia!$E$178*Założenia!$E$180)*(1+(Założenia!G324-Założenia!$D$324)*Założenia!$E$182)+Opcje!H69*Założenia!$E$197+Opcje!H70*Założenia!$E$196</f>
        <v>784183.17801467516</v>
      </c>
      <c r="I33" s="22">
        <f>((SUM(Założenia!H305:H309)*Założenia!H321)*Założenia!$E$178+(Założenia!H310*Założenia!H321+Założenia!H311*Założenia!H322+Założenia!H302*Założenia!H320)*Założenia!$E$178+(Założenia!H312*Założenia!H323)*Założenia!$E$178*Założenia!$E$180)*(1+(Założenia!H324-Założenia!$D$324)*Założenia!$E$182)+Opcje!I69*Założenia!$E$197+Opcje!I70*Założenia!$E$196</f>
        <v>818278.09879792202</v>
      </c>
      <c r="J33" s="22">
        <f>((SUM(Założenia!I305:I309)*Założenia!I321)*Założenia!$E$178+(Założenia!I310*Założenia!I321+Założenia!I311*Założenia!I322+Założenia!I302*Założenia!I320)*Założenia!$E$178+(Założenia!I312*Założenia!I323)*Założenia!$E$178*Założenia!$E$180)*(1+(Założenia!I324-Założenia!$D$324)*Założenia!$E$182)+Opcje!J69*Założenia!$E$197+Opcje!J70*Założenia!$E$196</f>
        <v>852373.01958116877</v>
      </c>
      <c r="K33" s="22">
        <f>((SUM(Założenia!J305:J309)*Założenia!J321)*Założenia!$E$178+(Założenia!J310*Założenia!J321+Założenia!J311*Założenia!J322+Założenia!J302*Założenia!J320)*Założenia!$E$178+(Założenia!J312*Założenia!J323)*Założenia!$E$178*Założenia!$E$180)*(1+(Założenia!J324-Założenia!$D$324)*Założenia!$E$182)+Opcje!K69*Założenia!$E$197+Opcje!K70*Założenia!$E$196</f>
        <v>932467.94036441552</v>
      </c>
      <c r="L33" s="22">
        <f>((SUM(Założenia!K305:K309)*Założenia!K321)*Założenia!$E$178+(Założenia!K310*Założenia!K321+Założenia!K311*Założenia!K322+Założenia!K302*Założenia!K320)*Założenia!$E$178+(Założenia!K312*Założenia!K323)*Założenia!$E$178*Założenia!$E$180)*(1+(Założenia!K324-Założenia!$D$324)*Założenia!$E$182)+Opcje!L69*Założenia!$E$197+Opcje!L70*Założenia!$E$196</f>
        <v>691495.79419011564</v>
      </c>
      <c r="M33" s="22">
        <f>((SUM(Założenia!L305:L309)*Założenia!L321)*Założenia!$E$178+(Założenia!L310*Założenia!L321+Założenia!L311*Założenia!L322+Założenia!L302*Założenia!L320)*Założenia!$E$178+(Założenia!L312*Założenia!L323)*Założenia!$E$178*Założenia!$E$180)*(1+(Założenia!L324-Założenia!$D$324)*Założenia!$E$182)+Opcje!M69*Założenia!$E$197+Opcje!M70*Założenia!$E$196</f>
        <v>722341.16430875752</v>
      </c>
      <c r="N33" s="22">
        <f>((SUM(Założenia!M305:M309)*Założenia!M321)*Założenia!$E$178+(Założenia!M310*Założenia!M321+Założenia!M311*Założenia!M322+Założenia!M302*Założenia!M320)*Założenia!$E$178+(Założenia!M312*Założenia!M323)*Założenia!$E$178*Założenia!$E$180)*(1+(Założenia!M324-Założenia!$D$324)*Założenia!$E$182)+Opcje!N69*Założenia!$E$197+Opcje!N70*Założenia!$E$196</f>
        <v>753186.53442739928</v>
      </c>
      <c r="O33" s="22">
        <f>((SUM(Założenia!N305:N309)*Założenia!N321)*Założenia!$E$178+(Założenia!N310*Założenia!N321+Założenia!N311*Założenia!N322+Założenia!N302*Założenia!N320)*Założenia!$E$178+(Założenia!N312*Założenia!N323)*Założenia!$E$178*Założenia!$E$180)*(1+(Założenia!N324-Założenia!$D$324)*Założenia!$E$182)+Opcje!O69*Założenia!$E$197+Opcje!O70*Założenia!$E$196</f>
        <v>784031.90454604127</v>
      </c>
      <c r="P33" s="22">
        <f>((SUM(Założenia!O305:O309)*Założenia!O321)*Założenia!$E$178+(Założenia!O310*Założenia!O321+Założenia!O311*Założenia!O322+Założenia!O302*Założenia!O320)*Założenia!$E$178+(Założenia!O312*Założenia!O323)*Założenia!$E$178*Założenia!$E$180)*(1+(Założenia!O324-Założenia!$D$324)*Założenia!$E$182)+Opcje!P69*Założenia!$E$197+Opcje!P70*Założenia!$E$196</f>
        <v>814877.27466468315</v>
      </c>
      <c r="Q33" s="22">
        <f>((SUM(Założenia!P305:P309)*Założenia!P321)*Założenia!$E$178+(Założenia!P310*Założenia!P321+Założenia!P311*Założenia!P322+Założenia!P302*Założenia!P320)*Założenia!$E$178+(Założenia!P312*Założenia!P323)*Założenia!$E$178*Założenia!$E$180)*(1+(Założenia!P324-Założenia!$D$324)*Założenia!$E$182)+Opcje!Q69*Założenia!$E$197+Opcje!Q70*Założenia!$E$196</f>
        <v>845722.64478332503</v>
      </c>
      <c r="R33" s="22">
        <f>((SUM(Założenia!Q305:Q309)*Założenia!Q321)*Założenia!$E$178+(Założenia!Q310*Założenia!Q321+Założenia!Q311*Założenia!Q322+Założenia!Q302*Założenia!Q320)*Założenia!$E$178+(Założenia!Q312*Założenia!Q323)*Założenia!$E$178*Założenia!$E$180)*(1+(Założenia!Q324-Założenia!$D$324)*Założenia!$E$182)+Opcje!R69*Założenia!$E$197+Opcje!R70*Założenia!$E$196</f>
        <v>876568.01490196702</v>
      </c>
      <c r="S33" s="22">
        <f>((SUM(Założenia!R305:R309)*Założenia!R321)*Założenia!$E$178+(Założenia!R310*Założenia!R321+Założenia!R311*Założenia!R322+Założenia!R302*Założenia!R320)*Założenia!$E$178+(Założenia!R312*Założenia!R323)*Założenia!$E$178*Założenia!$E$180)*(1+(Założenia!R324-Założenia!$D$324)*Założenia!$E$182)+Opcje!S69*Założenia!$E$197+Opcje!S70*Założenia!$E$196</f>
        <v>907413.3850206089</v>
      </c>
      <c r="T33" s="22">
        <f>((SUM(Założenia!S305:S309)*Założenia!S321)*Założenia!$E$178+(Założenia!S310*Założenia!S321+Założenia!S311*Założenia!S322+Założenia!S302*Założenia!S320)*Założenia!$E$178+(Założenia!S312*Założenia!S323)*Założenia!$E$178*Założenia!$E$180)*(1+(Założenia!S324-Założenia!$D$324)*Założenia!$E$182)+Opcje!T69*Założenia!$E$197+Opcje!T70*Założenia!$E$196</f>
        <v>771837.22333634575</v>
      </c>
    </row>
    <row r="34" spans="1:21" s="13" customFormat="1" ht="12">
      <c r="A34" s="108" t="s">
        <v>61</v>
      </c>
      <c r="B34" s="118" t="s">
        <v>8</v>
      </c>
      <c r="C34" s="301" t="s">
        <v>0</v>
      </c>
      <c r="D34" s="302"/>
      <c r="E34" s="22">
        <f>Założenia!$E$218</f>
        <v>337789.35039205936</v>
      </c>
      <c r="F34" s="22">
        <f>Założenia!$E$218</f>
        <v>337789.35039205936</v>
      </c>
      <c r="G34" s="22">
        <f>Założenia!$E$218</f>
        <v>337789.35039205936</v>
      </c>
      <c r="H34" s="22">
        <f>Założenia!$E$218</f>
        <v>337789.35039205936</v>
      </c>
      <c r="I34" s="22">
        <f>Założenia!$E$218</f>
        <v>337789.35039205936</v>
      </c>
      <c r="J34" s="22">
        <f>Założenia!$E$218</f>
        <v>337789.35039205936</v>
      </c>
      <c r="K34" s="22">
        <f>Założenia!$E$218</f>
        <v>337789.35039205936</v>
      </c>
      <c r="L34" s="22">
        <f>Założenia!$E$218</f>
        <v>337789.35039205936</v>
      </c>
      <c r="M34" s="22">
        <f>Założenia!$E$218</f>
        <v>337789.35039205936</v>
      </c>
      <c r="N34" s="22">
        <f>Założenia!$E$218</f>
        <v>337789.35039205936</v>
      </c>
      <c r="O34" s="22">
        <f>Założenia!$E$218</f>
        <v>337789.35039205936</v>
      </c>
      <c r="P34" s="22">
        <f>Założenia!$E$218</f>
        <v>337789.35039205936</v>
      </c>
      <c r="Q34" s="22">
        <f>Założenia!$E$218</f>
        <v>337789.35039205936</v>
      </c>
      <c r="R34" s="22">
        <f>Założenia!$E$218</f>
        <v>337789.35039205936</v>
      </c>
      <c r="S34" s="22">
        <f>Założenia!$E$218</f>
        <v>337789.35039205936</v>
      </c>
      <c r="T34" s="22">
        <f>Założenia!$E$218</f>
        <v>337789.35039205936</v>
      </c>
    </row>
    <row r="35" spans="1:21" s="13" customFormat="1" ht="12">
      <c r="A35" s="108" t="s">
        <v>69</v>
      </c>
      <c r="B35" s="166" t="s">
        <v>10</v>
      </c>
      <c r="C35" s="301" t="s">
        <v>0</v>
      </c>
      <c r="D35" s="302"/>
      <c r="E35" s="22">
        <f>Założenia!$E$209</f>
        <v>5097501.7389051178</v>
      </c>
      <c r="F35" s="22">
        <f>Założenia!$E$209</f>
        <v>5097501.7389051178</v>
      </c>
      <c r="G35" s="22">
        <f>Założenia!$E$209</f>
        <v>5097501.7389051178</v>
      </c>
      <c r="H35" s="22">
        <f>Założenia!$E$209</f>
        <v>5097501.7389051178</v>
      </c>
      <c r="I35" s="22">
        <f>Założenia!$E$209</f>
        <v>5097501.7389051178</v>
      </c>
      <c r="J35" s="22">
        <f>Założenia!$E$209</f>
        <v>5097501.7389051178</v>
      </c>
      <c r="K35" s="22">
        <f>Założenia!$E$209</f>
        <v>5097501.7389051178</v>
      </c>
      <c r="L35" s="22">
        <f>Założenia!$E$209</f>
        <v>5097501.7389051178</v>
      </c>
      <c r="M35" s="22">
        <f>Założenia!$E$209</f>
        <v>5097501.7389051178</v>
      </c>
      <c r="N35" s="22">
        <f>Założenia!$E$209</f>
        <v>5097501.7389051178</v>
      </c>
      <c r="O35" s="22">
        <f>Założenia!$E$209</f>
        <v>5097501.7389051178</v>
      </c>
      <c r="P35" s="22">
        <f>Założenia!$E$209</f>
        <v>5097501.7389051178</v>
      </c>
      <c r="Q35" s="22">
        <f>Założenia!$E$209</f>
        <v>5097501.7389051178</v>
      </c>
      <c r="R35" s="22">
        <f>Założenia!$E$209</f>
        <v>5097501.7389051178</v>
      </c>
      <c r="S35" s="22">
        <f>Założenia!$E$209</f>
        <v>5097501.7389051178</v>
      </c>
      <c r="T35" s="22">
        <f>Założenia!$E$209</f>
        <v>5097501.7389051178</v>
      </c>
    </row>
    <row r="36" spans="1:21" s="13" customFormat="1" ht="12">
      <c r="A36" s="108" t="s">
        <v>70</v>
      </c>
      <c r="B36" s="110" t="s">
        <v>464</v>
      </c>
      <c r="C36" s="301" t="s">
        <v>0</v>
      </c>
      <c r="D36" s="302"/>
      <c r="E36" s="22">
        <f>Założenia!$E$210</f>
        <v>1372905.9020110394</v>
      </c>
      <c r="F36" s="22">
        <f>Założenia!$E$210</f>
        <v>1372905.9020110394</v>
      </c>
      <c r="G36" s="22">
        <f>Założenia!$E$210</f>
        <v>1372905.9020110394</v>
      </c>
      <c r="H36" s="22">
        <f>Założenia!$E$210</f>
        <v>1372905.9020110394</v>
      </c>
      <c r="I36" s="22">
        <f>Założenia!$E$210</f>
        <v>1372905.9020110394</v>
      </c>
      <c r="J36" s="22">
        <f>Założenia!$E$210</f>
        <v>1372905.9020110394</v>
      </c>
      <c r="K36" s="22">
        <f>Założenia!$E$210</f>
        <v>1372905.9020110394</v>
      </c>
      <c r="L36" s="22">
        <f>Założenia!$E$210</f>
        <v>1372905.9020110394</v>
      </c>
      <c r="M36" s="22">
        <f>Założenia!$E$210</f>
        <v>1372905.9020110394</v>
      </c>
      <c r="N36" s="22">
        <f>Założenia!$E$210</f>
        <v>1372905.9020110394</v>
      </c>
      <c r="O36" s="22">
        <f>Założenia!$E$210</f>
        <v>1372905.9020110394</v>
      </c>
      <c r="P36" s="22">
        <f>Założenia!$E$210</f>
        <v>1372905.9020110394</v>
      </c>
      <c r="Q36" s="22">
        <f>Założenia!$E$210</f>
        <v>1372905.9020110394</v>
      </c>
      <c r="R36" s="22">
        <f>Założenia!$E$210</f>
        <v>1372905.9020110394</v>
      </c>
      <c r="S36" s="22">
        <f>Założenia!$E$210</f>
        <v>1372905.9020110394</v>
      </c>
      <c r="T36" s="22">
        <f>Założenia!$E$210</f>
        <v>1372905.9020110394</v>
      </c>
    </row>
    <row r="37" spans="1:21" s="33" customFormat="1" ht="12">
      <c r="A37" s="108" t="s">
        <v>79</v>
      </c>
      <c r="B37" s="167" t="s">
        <v>9</v>
      </c>
      <c r="C37" s="301" t="s">
        <v>0</v>
      </c>
      <c r="D37" s="302"/>
      <c r="E37" s="22">
        <f>E38+E39</f>
        <v>1249696.4722158895</v>
      </c>
      <c r="F37" s="22">
        <f t="shared" ref="F37:T37" si="8">F38+F39</f>
        <v>1249696.4722158895</v>
      </c>
      <c r="G37" s="22">
        <f t="shared" si="8"/>
        <v>1249696.4722158895</v>
      </c>
      <c r="H37" s="22">
        <f t="shared" si="8"/>
        <v>1249696.4722158895</v>
      </c>
      <c r="I37" s="22">
        <f t="shared" si="8"/>
        <v>1249696.4722158895</v>
      </c>
      <c r="J37" s="22">
        <f t="shared" si="8"/>
        <v>1249696.4722158895</v>
      </c>
      <c r="K37" s="22">
        <f t="shared" si="8"/>
        <v>1249696.4722158895</v>
      </c>
      <c r="L37" s="22">
        <f t="shared" si="8"/>
        <v>1263194.813679304</v>
      </c>
      <c r="M37" s="22">
        <f t="shared" si="8"/>
        <v>1263194.813679304</v>
      </c>
      <c r="N37" s="22">
        <f t="shared" si="8"/>
        <v>1263194.813679304</v>
      </c>
      <c r="O37" s="22">
        <f t="shared" si="8"/>
        <v>1263194.813679304</v>
      </c>
      <c r="P37" s="22">
        <f t="shared" si="8"/>
        <v>1263194.813679304</v>
      </c>
      <c r="Q37" s="22">
        <f t="shared" si="8"/>
        <v>1263194.813679304</v>
      </c>
      <c r="R37" s="22">
        <f t="shared" si="8"/>
        <v>1263194.813679304</v>
      </c>
      <c r="S37" s="22">
        <f t="shared" si="8"/>
        <v>1263194.813679304</v>
      </c>
      <c r="T37" s="22">
        <f t="shared" si="8"/>
        <v>1263194.813679304</v>
      </c>
    </row>
    <row r="38" spans="1:21" s="6" customFormat="1" ht="12">
      <c r="A38" s="96" t="s">
        <v>154</v>
      </c>
      <c r="B38" s="113" t="s">
        <v>153</v>
      </c>
      <c r="C38" s="214" t="s">
        <v>0</v>
      </c>
      <c r="D38" s="300"/>
      <c r="E38" s="23">
        <f>Założenia!$F$229*Założenia!D301</f>
        <v>276716</v>
      </c>
      <c r="F38" s="23">
        <f>Założenia!$F$229*Założenia!E301</f>
        <v>276716</v>
      </c>
      <c r="G38" s="23">
        <f>Założenia!$F$229*Założenia!F301</f>
        <v>276716</v>
      </c>
      <c r="H38" s="23">
        <f>Założenia!$F$229*Założenia!G301</f>
        <v>276716</v>
      </c>
      <c r="I38" s="23">
        <f>Założenia!$F$229*Założenia!H301</f>
        <v>276716</v>
      </c>
      <c r="J38" s="23">
        <f>Założenia!$F$229*Założenia!I301</f>
        <v>276716</v>
      </c>
      <c r="K38" s="23">
        <f>Założenia!$F$229*Założenia!J301</f>
        <v>276716</v>
      </c>
      <c r="L38" s="23">
        <f>Założenia!$F$229*Założenia!K301</f>
        <v>290214.3414634146</v>
      </c>
      <c r="M38" s="23">
        <f>Założenia!$F$229*Założenia!L301</f>
        <v>290214.3414634146</v>
      </c>
      <c r="N38" s="23">
        <f>Założenia!$F$229*Założenia!M301</f>
        <v>290214.3414634146</v>
      </c>
      <c r="O38" s="23">
        <f>Założenia!$F$229*Założenia!N301</f>
        <v>290214.3414634146</v>
      </c>
      <c r="P38" s="23">
        <f>Założenia!$F$229*Założenia!O301</f>
        <v>290214.3414634146</v>
      </c>
      <c r="Q38" s="23">
        <f>Założenia!$F$229*Założenia!P301</f>
        <v>290214.3414634146</v>
      </c>
      <c r="R38" s="23">
        <f>Założenia!$F$229*Założenia!Q301</f>
        <v>290214.3414634146</v>
      </c>
      <c r="S38" s="23">
        <f>Założenia!$F$229*Założenia!R301</f>
        <v>290214.3414634146</v>
      </c>
      <c r="T38" s="23">
        <f>Założenia!$F$229*Założenia!S301</f>
        <v>290214.3414634146</v>
      </c>
    </row>
    <row r="39" spans="1:21" s="6" customFormat="1" ht="12">
      <c r="A39" s="96" t="s">
        <v>155</v>
      </c>
      <c r="B39" s="113" t="s">
        <v>81</v>
      </c>
      <c r="C39" s="214" t="s">
        <v>0</v>
      </c>
      <c r="D39" s="300"/>
      <c r="E39" s="23">
        <f>Założenia!$E$220</f>
        <v>972980.47221588937</v>
      </c>
      <c r="F39" s="23">
        <f>Założenia!$E$220</f>
        <v>972980.47221588937</v>
      </c>
      <c r="G39" s="23">
        <f>Założenia!$E$220</f>
        <v>972980.47221588937</v>
      </c>
      <c r="H39" s="23">
        <f>Założenia!$E$220</f>
        <v>972980.47221588937</v>
      </c>
      <c r="I39" s="23">
        <f>Założenia!$E$220</f>
        <v>972980.47221588937</v>
      </c>
      <c r="J39" s="23">
        <f>Założenia!$E$220</f>
        <v>972980.47221588937</v>
      </c>
      <c r="K39" s="23">
        <f>Założenia!$E$220</f>
        <v>972980.47221588937</v>
      </c>
      <c r="L39" s="23">
        <f>Założenia!$E$220</f>
        <v>972980.47221588937</v>
      </c>
      <c r="M39" s="23">
        <f>Założenia!$E$220</f>
        <v>972980.47221588937</v>
      </c>
      <c r="N39" s="23">
        <f>Założenia!$E$220</f>
        <v>972980.47221588937</v>
      </c>
      <c r="O39" s="23">
        <f>Założenia!$E$220</f>
        <v>972980.47221588937</v>
      </c>
      <c r="P39" s="23">
        <f>Założenia!$E$220</f>
        <v>972980.47221588937</v>
      </c>
      <c r="Q39" s="23">
        <f>Założenia!$E$220</f>
        <v>972980.47221588937</v>
      </c>
      <c r="R39" s="23">
        <f>Założenia!$E$220</f>
        <v>972980.47221588937</v>
      </c>
      <c r="S39" s="23">
        <f>Założenia!$E$220</f>
        <v>972980.47221588937</v>
      </c>
      <c r="T39" s="23">
        <f>Założenia!$E$220</f>
        <v>972980.47221588937</v>
      </c>
    </row>
    <row r="40" spans="1:21" s="26" customFormat="1">
      <c r="A40" s="108" t="s">
        <v>420</v>
      </c>
      <c r="B40" s="299" t="s">
        <v>455</v>
      </c>
      <c r="C40" s="214" t="s">
        <v>0</v>
      </c>
      <c r="D40" s="300"/>
      <c r="E40" s="125">
        <f>Założenia!$E222</f>
        <v>1348716.5378980758</v>
      </c>
      <c r="F40" s="125">
        <f>Założenia!$E222</f>
        <v>1348716.5378980758</v>
      </c>
      <c r="G40" s="125">
        <f>Założenia!$E222</f>
        <v>1348716.5378980758</v>
      </c>
      <c r="H40" s="125">
        <f>Założenia!$E222</f>
        <v>1348716.5378980758</v>
      </c>
      <c r="I40" s="125">
        <f>Założenia!$E222</f>
        <v>1348716.5378980758</v>
      </c>
      <c r="J40" s="125">
        <f>Założenia!$E222</f>
        <v>1348716.5378980758</v>
      </c>
      <c r="K40" s="125">
        <f>Założenia!$E222</f>
        <v>1348716.5378980758</v>
      </c>
      <c r="L40" s="125">
        <f>Założenia!$E222</f>
        <v>1348716.5378980758</v>
      </c>
      <c r="M40" s="125">
        <f>Założenia!$E222</f>
        <v>1348716.5378980758</v>
      </c>
      <c r="N40" s="125">
        <f>Założenia!$E222</f>
        <v>1348716.5378980758</v>
      </c>
      <c r="O40" s="125">
        <f>Założenia!$E222</f>
        <v>1348716.5378980758</v>
      </c>
      <c r="P40" s="125">
        <f>Założenia!$E222</f>
        <v>1348716.5378980758</v>
      </c>
      <c r="Q40" s="125">
        <f>Założenia!$E222</f>
        <v>1348716.5378980758</v>
      </c>
      <c r="R40" s="125">
        <f>Założenia!$E222</f>
        <v>1348716.5378980758</v>
      </c>
      <c r="S40" s="125">
        <f>Założenia!$E222</f>
        <v>1348716.5378980758</v>
      </c>
      <c r="T40" s="125">
        <f>Założenia!$E222</f>
        <v>1348716.5378980758</v>
      </c>
      <c r="U40" s="13"/>
    </row>
    <row r="41" spans="1:21" s="26" customFormat="1">
      <c r="A41" s="13"/>
      <c r="B41" s="303"/>
      <c r="C41" s="304"/>
      <c r="D41" s="304"/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5"/>
      <c r="T41" s="305"/>
      <c r="U41" s="13"/>
    </row>
    <row r="42" spans="1:21" s="1" customFormat="1" ht="12">
      <c r="A42" s="269" t="s">
        <v>26</v>
      </c>
      <c r="B42" s="95" t="s">
        <v>220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1" s="26" customFormat="1">
      <c r="A43" s="108" t="s">
        <v>34</v>
      </c>
      <c r="B43" s="166" t="s">
        <v>158</v>
      </c>
      <c r="C43" s="214" t="s">
        <v>0</v>
      </c>
      <c r="D43" s="301"/>
      <c r="E43" s="107">
        <f t="shared" ref="E43:T43" si="9">E45*E50</f>
        <v>225256.51018104475</v>
      </c>
      <c r="F43" s="107">
        <f t="shared" si="9"/>
        <v>231883.87581948366</v>
      </c>
      <c r="G43" s="107">
        <f t="shared" si="9"/>
        <v>238325.09459224716</v>
      </c>
      <c r="H43" s="107">
        <f t="shared" si="9"/>
        <v>244766.31336501052</v>
      </c>
      <c r="I43" s="107">
        <f t="shared" si="9"/>
        <v>251207.53213777402</v>
      </c>
      <c r="J43" s="107">
        <f t="shared" si="9"/>
        <v>257648.75091053743</v>
      </c>
      <c r="K43" s="107">
        <f t="shared" si="9"/>
        <v>264089.96968330088</v>
      </c>
      <c r="L43" s="107">
        <f t="shared" si="9"/>
        <v>309452.29385175969</v>
      </c>
      <c r="M43" s="107">
        <f t="shared" si="9"/>
        <v>313177.1606842457</v>
      </c>
      <c r="N43" s="107">
        <f t="shared" si="9"/>
        <v>316732.58356669039</v>
      </c>
      <c r="O43" s="107">
        <f t="shared" si="9"/>
        <v>317068.57139834919</v>
      </c>
      <c r="P43" s="107">
        <f t="shared" si="9"/>
        <v>317099.56011993362</v>
      </c>
      <c r="Q43" s="107">
        <f t="shared" si="9"/>
        <v>316825.54973144346</v>
      </c>
      <c r="R43" s="107">
        <f t="shared" si="9"/>
        <v>316246.54023287894</v>
      </c>
      <c r="S43" s="107">
        <f t="shared" si="9"/>
        <v>315362.53162423999</v>
      </c>
      <c r="T43" s="107">
        <f t="shared" si="9"/>
        <v>312267.27946756128</v>
      </c>
      <c r="U43" s="13"/>
    </row>
    <row r="44" spans="1:21" s="26" customFormat="1" ht="13.5">
      <c r="A44" s="96"/>
      <c r="B44" s="112" t="s">
        <v>382</v>
      </c>
      <c r="C44" s="214" t="s">
        <v>171</v>
      </c>
      <c r="D44" s="214"/>
      <c r="E44" s="173">
        <f>Założenia!E114</f>
        <v>2.68</v>
      </c>
      <c r="F44" s="173">
        <f>Założenia!F114</f>
        <v>2.68</v>
      </c>
      <c r="G44" s="173">
        <f>Założenia!G114</f>
        <v>2.68</v>
      </c>
      <c r="H44" s="173">
        <f>Założenia!H114</f>
        <v>2.68</v>
      </c>
      <c r="I44" s="173">
        <f>Założenia!I114</f>
        <v>2.68</v>
      </c>
      <c r="J44" s="173">
        <f>Założenia!J114</f>
        <v>2.68</v>
      </c>
      <c r="K44" s="173">
        <f>Założenia!K114</f>
        <v>2.68</v>
      </c>
      <c r="L44" s="173">
        <f>Założenia!L114</f>
        <v>2.68</v>
      </c>
      <c r="M44" s="173">
        <f>Założenia!M114</f>
        <v>2.68</v>
      </c>
      <c r="N44" s="173">
        <f>Założenia!N114</f>
        <v>2.68</v>
      </c>
      <c r="O44" s="173">
        <f>Założenia!O114</f>
        <v>2.68</v>
      </c>
      <c r="P44" s="173">
        <f>Założenia!P114</f>
        <v>2.68</v>
      </c>
      <c r="Q44" s="173">
        <f>Założenia!Q114</f>
        <v>2.68</v>
      </c>
      <c r="R44" s="173">
        <f>Założenia!R114</f>
        <v>2.68</v>
      </c>
      <c r="S44" s="173">
        <f>Założenia!S114</f>
        <v>2.68</v>
      </c>
      <c r="T44" s="173">
        <f>Założenia!T114</f>
        <v>2.68</v>
      </c>
      <c r="U44" s="13"/>
    </row>
    <row r="45" spans="1:21" s="26" customFormat="1" ht="13.5">
      <c r="A45" s="96"/>
      <c r="B45" s="112" t="s">
        <v>156</v>
      </c>
      <c r="C45" s="214" t="s">
        <v>157</v>
      </c>
      <c r="D45" s="214"/>
      <c r="E45" s="174">
        <f>Założenia!E115</f>
        <v>188.60725391508436</v>
      </c>
      <c r="F45" s="174">
        <f>Założenia!F115</f>
        <v>193.99603259837247</v>
      </c>
      <c r="G45" s="174">
        <f>Założenia!G115</f>
        <v>199.38481128166063</v>
      </c>
      <c r="H45" s="174">
        <f>Założenia!H115</f>
        <v>204.77358996494871</v>
      </c>
      <c r="I45" s="174">
        <f>Założenia!I115</f>
        <v>210.16236864823688</v>
      </c>
      <c r="J45" s="174">
        <f>Założenia!J115</f>
        <v>215.55114733152499</v>
      </c>
      <c r="K45" s="174">
        <f>Założenia!K115</f>
        <v>220.93992601481312</v>
      </c>
      <c r="L45" s="174">
        <f>Założenia!L115</f>
        <v>226.32870469810123</v>
      </c>
      <c r="M45" s="174">
        <f>Założenia!M115</f>
        <v>231.71748338138934</v>
      </c>
      <c r="N45" s="174">
        <f>Założenia!N115</f>
        <v>237.10626206467751</v>
      </c>
      <c r="O45" s="174">
        <f>Założenia!O115</f>
        <v>242.49504074796559</v>
      </c>
      <c r="P45" s="174">
        <f>Założenia!P115</f>
        <v>247.88381943125376</v>
      </c>
      <c r="Q45" s="174">
        <f>Założenia!Q115</f>
        <v>253.27259811454186</v>
      </c>
      <c r="R45" s="174">
        <f>Założenia!R115</f>
        <v>258.66137679782997</v>
      </c>
      <c r="S45" s="174">
        <f>Założenia!S115</f>
        <v>264.05015548111811</v>
      </c>
      <c r="T45" s="174">
        <f>Założenia!T115</f>
        <v>269.43893416440625</v>
      </c>
      <c r="U45" s="13"/>
    </row>
    <row r="46" spans="1:21" s="26" customFormat="1">
      <c r="A46" s="96"/>
      <c r="B46" s="112" t="s">
        <v>461</v>
      </c>
      <c r="C46" s="214" t="s">
        <v>136</v>
      </c>
      <c r="D46" s="214"/>
      <c r="E46" s="106">
        <f>Założenia!D320</f>
        <v>52086.956521739128</v>
      </c>
      <c r="F46" s="106">
        <f>Założenia!E320</f>
        <v>52130</v>
      </c>
      <c r="G46" s="106">
        <f>Założenia!F320</f>
        <v>52130</v>
      </c>
      <c r="H46" s="106">
        <f>Założenia!G320</f>
        <v>52130</v>
      </c>
      <c r="I46" s="106">
        <f>Założenia!H320</f>
        <v>52130</v>
      </c>
      <c r="J46" s="106">
        <f>Założenia!I320</f>
        <v>52130</v>
      </c>
      <c r="K46" s="106">
        <f>Założenia!J320</f>
        <v>52130</v>
      </c>
      <c r="L46" s="106">
        <f>Założenia!K320</f>
        <v>50230</v>
      </c>
      <c r="M46" s="106">
        <f>Założenia!L320</f>
        <v>50230</v>
      </c>
      <c r="N46" s="106">
        <f>Założenia!M320</f>
        <v>50230</v>
      </c>
      <c r="O46" s="106">
        <f>Założenia!N320</f>
        <v>50230</v>
      </c>
      <c r="P46" s="106">
        <f>Założenia!O320</f>
        <v>50230</v>
      </c>
      <c r="Q46" s="106">
        <f>Założenia!P320</f>
        <v>50230</v>
      </c>
      <c r="R46" s="106">
        <f>Założenia!Q320</f>
        <v>50230</v>
      </c>
      <c r="S46" s="106">
        <f>Założenia!R320</f>
        <v>50230</v>
      </c>
      <c r="T46" s="106">
        <f>Założenia!S320</f>
        <v>50230</v>
      </c>
      <c r="U46" s="13"/>
    </row>
    <row r="47" spans="1:21" s="26" customFormat="1">
      <c r="A47" s="96"/>
      <c r="B47" s="112" t="s">
        <v>458</v>
      </c>
      <c r="C47" s="214" t="s">
        <v>136</v>
      </c>
      <c r="D47" s="214"/>
      <c r="E47" s="106">
        <f>Założenia!D321</f>
        <v>55555.555555555555</v>
      </c>
      <c r="F47" s="106">
        <f>Założenia!E321</f>
        <v>55601.465405305142</v>
      </c>
      <c r="G47" s="106">
        <f>Założenia!F321</f>
        <v>55601.465405305142</v>
      </c>
      <c r="H47" s="106">
        <f>Założenia!G321</f>
        <v>55601.465405305142</v>
      </c>
      <c r="I47" s="106">
        <f>Założenia!H321</f>
        <v>55601.465405305142</v>
      </c>
      <c r="J47" s="106">
        <f>Założenia!I321</f>
        <v>55601.465405305142</v>
      </c>
      <c r="K47" s="106">
        <f>Założenia!J321</f>
        <v>55601.465405305142</v>
      </c>
      <c r="L47" s="106">
        <f>Założenia!K321</f>
        <v>53574.93971433871</v>
      </c>
      <c r="M47" s="106">
        <f>Założenia!L321</f>
        <v>53574.93971433871</v>
      </c>
      <c r="N47" s="106">
        <f>Założenia!M321</f>
        <v>53574.93971433871</v>
      </c>
      <c r="O47" s="106">
        <f>Założenia!N321</f>
        <v>53574.93971433871</v>
      </c>
      <c r="P47" s="106">
        <f>Założenia!O321</f>
        <v>53574.93971433871</v>
      </c>
      <c r="Q47" s="106">
        <f>Założenia!P321</f>
        <v>53574.93971433871</v>
      </c>
      <c r="R47" s="106">
        <f>Założenia!Q321</f>
        <v>53574.93971433871</v>
      </c>
      <c r="S47" s="106">
        <f>Założenia!R321</f>
        <v>53574.93971433871</v>
      </c>
      <c r="T47" s="106">
        <f>Założenia!S321</f>
        <v>53574.93971433871</v>
      </c>
      <c r="U47" s="13"/>
    </row>
    <row r="48" spans="1:21" s="26" customFormat="1">
      <c r="A48" s="96"/>
      <c r="B48" s="112" t="s">
        <v>459</v>
      </c>
      <c r="C48" s="214" t="s">
        <v>136</v>
      </c>
      <c r="D48" s="214"/>
      <c r="E48" s="106">
        <f>Założenia!D322</f>
        <v>0</v>
      </c>
      <c r="F48" s="106">
        <f>Założenia!E322</f>
        <v>0</v>
      </c>
      <c r="G48" s="106">
        <f>Założenia!F322</f>
        <v>0</v>
      </c>
      <c r="H48" s="106">
        <f>Założenia!G322</f>
        <v>0</v>
      </c>
      <c r="I48" s="106">
        <f>Założenia!H322</f>
        <v>0</v>
      </c>
      <c r="J48" s="106">
        <f>Założenia!I322</f>
        <v>0</v>
      </c>
      <c r="K48" s="106">
        <f>Założenia!J322</f>
        <v>0</v>
      </c>
      <c r="L48" s="106">
        <f>Założenia!K322</f>
        <v>0</v>
      </c>
      <c r="M48" s="106">
        <f>Założenia!L322</f>
        <v>0</v>
      </c>
      <c r="N48" s="106">
        <f>Założenia!M322</f>
        <v>0</v>
      </c>
      <c r="O48" s="106">
        <f>Założenia!N322</f>
        <v>0</v>
      </c>
      <c r="P48" s="106">
        <f>Założenia!O322</f>
        <v>0</v>
      </c>
      <c r="Q48" s="106">
        <f>Założenia!P322</f>
        <v>0</v>
      </c>
      <c r="R48" s="106">
        <f>Założenia!Q322</f>
        <v>0</v>
      </c>
      <c r="S48" s="106">
        <f>Założenia!R322</f>
        <v>0</v>
      </c>
      <c r="T48" s="106">
        <f>Założenia!S322</f>
        <v>0</v>
      </c>
      <c r="U48" s="13"/>
    </row>
    <row r="49" spans="1:21" s="26" customFormat="1">
      <c r="A49" s="96"/>
      <c r="B49" s="112" t="s">
        <v>460</v>
      </c>
      <c r="C49" s="214" t="s">
        <v>136</v>
      </c>
      <c r="D49" s="214"/>
      <c r="E49" s="106">
        <f>Założenia!D323</f>
        <v>0</v>
      </c>
      <c r="F49" s="106">
        <f>Założenia!E323</f>
        <v>0</v>
      </c>
      <c r="G49" s="106">
        <f>Założenia!F323</f>
        <v>0</v>
      </c>
      <c r="H49" s="106">
        <f>Założenia!G323</f>
        <v>0</v>
      </c>
      <c r="I49" s="106">
        <f>Założenia!H323</f>
        <v>0</v>
      </c>
      <c r="J49" s="106">
        <f>Założenia!I323</f>
        <v>0</v>
      </c>
      <c r="K49" s="106">
        <f>Założenia!J323</f>
        <v>0</v>
      </c>
      <c r="L49" s="106">
        <f>Założenia!K323</f>
        <v>50000</v>
      </c>
      <c r="M49" s="106">
        <f>Założenia!L323</f>
        <v>50000</v>
      </c>
      <c r="N49" s="106">
        <f>Założenia!M323</f>
        <v>50000</v>
      </c>
      <c r="O49" s="106">
        <f>Założenia!N323</f>
        <v>50000</v>
      </c>
      <c r="P49" s="106">
        <f>Założenia!O323</f>
        <v>50000</v>
      </c>
      <c r="Q49" s="106">
        <f>Założenia!P323</f>
        <v>50000</v>
      </c>
      <c r="R49" s="106">
        <f>Założenia!Q323</f>
        <v>50000</v>
      </c>
      <c r="S49" s="106">
        <f>Założenia!R323</f>
        <v>50000</v>
      </c>
      <c r="T49" s="106">
        <f>Założenia!S323</f>
        <v>50000</v>
      </c>
      <c r="U49" s="13"/>
    </row>
    <row r="50" spans="1:21" s="26" customFormat="1" ht="13.5">
      <c r="A50" s="96"/>
      <c r="B50" s="112" t="s">
        <v>225</v>
      </c>
      <c r="C50" s="214" t="s">
        <v>217</v>
      </c>
      <c r="D50" s="214"/>
      <c r="E50" s="106">
        <f>E51+E59</f>
        <v>1194.3152</v>
      </c>
      <c r="F50" s="106">
        <f t="shared" ref="F50:T50" si="10">F51+F59</f>
        <v>1195.3021549649416</v>
      </c>
      <c r="G50" s="106">
        <f t="shared" si="10"/>
        <v>1195.3021549649416</v>
      </c>
      <c r="H50" s="106">
        <f t="shared" si="10"/>
        <v>1195.3021549649416</v>
      </c>
      <c r="I50" s="106">
        <f t="shared" si="10"/>
        <v>1195.3021549649416</v>
      </c>
      <c r="J50" s="106">
        <f t="shared" si="10"/>
        <v>1195.3021549649416</v>
      </c>
      <c r="K50" s="106">
        <f t="shared" si="10"/>
        <v>1195.3021549649416</v>
      </c>
      <c r="L50" s="106">
        <f t="shared" si="10"/>
        <v>1367.2693185980834</v>
      </c>
      <c r="M50" s="106">
        <f t="shared" si="10"/>
        <v>1351.5473934643935</v>
      </c>
      <c r="N50" s="106">
        <f t="shared" si="10"/>
        <v>1335.8254683307036</v>
      </c>
      <c r="O50" s="106">
        <f t="shared" si="10"/>
        <v>1307.526003090062</v>
      </c>
      <c r="P50" s="106">
        <f t="shared" si="10"/>
        <v>1279.2265378494203</v>
      </c>
      <c r="Q50" s="106">
        <f t="shared" si="10"/>
        <v>1250.9270726087784</v>
      </c>
      <c r="R50" s="106">
        <f t="shared" si="10"/>
        <v>1222.6276073681368</v>
      </c>
      <c r="S50" s="106">
        <f t="shared" si="10"/>
        <v>1194.3281421274951</v>
      </c>
      <c r="T50" s="106">
        <f t="shared" si="10"/>
        <v>1158.9538105766928</v>
      </c>
      <c r="U50" s="13"/>
    </row>
    <row r="51" spans="1:21" s="26" customFormat="1" ht="15">
      <c r="A51" s="96"/>
      <c r="B51" s="166" t="s">
        <v>343</v>
      </c>
      <c r="C51" s="214" t="s">
        <v>351</v>
      </c>
      <c r="D51" s="214"/>
      <c r="E51" s="106">
        <f>SUM(E52:E58)</f>
        <v>1194.3152</v>
      </c>
      <c r="F51" s="106">
        <f t="shared" ref="F51:T51" si="11">SUM(F52:F58)</f>
        <v>1195.3021549649416</v>
      </c>
      <c r="G51" s="106">
        <f t="shared" si="11"/>
        <v>1195.3021549649416</v>
      </c>
      <c r="H51" s="106">
        <f t="shared" si="11"/>
        <v>1195.3021549649416</v>
      </c>
      <c r="I51" s="106">
        <f t="shared" si="11"/>
        <v>1195.3021549649416</v>
      </c>
      <c r="J51" s="106">
        <f t="shared" si="11"/>
        <v>1195.3021549649416</v>
      </c>
      <c r="K51" s="106">
        <f t="shared" si="11"/>
        <v>1195.3021549649416</v>
      </c>
      <c r="L51" s="106">
        <f t="shared" si="11"/>
        <v>817.001938918939</v>
      </c>
      <c r="M51" s="106">
        <f t="shared" si="11"/>
        <v>817.001938918939</v>
      </c>
      <c r="N51" s="106">
        <f t="shared" si="11"/>
        <v>817.001938918939</v>
      </c>
      <c r="O51" s="106">
        <f t="shared" si="11"/>
        <v>817.001938918939</v>
      </c>
      <c r="P51" s="106">
        <f t="shared" si="11"/>
        <v>817.001938918939</v>
      </c>
      <c r="Q51" s="106">
        <f t="shared" si="11"/>
        <v>817.001938918939</v>
      </c>
      <c r="R51" s="106">
        <f t="shared" si="11"/>
        <v>817.001938918939</v>
      </c>
      <c r="S51" s="106">
        <f t="shared" si="11"/>
        <v>817.001938918939</v>
      </c>
      <c r="T51" s="106">
        <f t="shared" si="11"/>
        <v>817.001938918939</v>
      </c>
      <c r="U51" s="13"/>
    </row>
    <row r="52" spans="1:21" s="26" customFormat="1" ht="15">
      <c r="A52" s="96"/>
      <c r="B52" s="109" t="s">
        <v>426</v>
      </c>
      <c r="C52" s="214" t="s">
        <v>351</v>
      </c>
      <c r="D52" s="214"/>
      <c r="E52" s="106">
        <f>Założenia!D305*E$47*E$44/1000*Założenia!$G53/100</f>
        <v>0</v>
      </c>
      <c r="F52" s="106">
        <f>Założenia!E305*F$47*F$44/1000*Założenia!$G53/100</f>
        <v>0</v>
      </c>
      <c r="G52" s="106">
        <f>Założenia!F305*G$47*G$44/1000*Założenia!$G53/100</f>
        <v>0</v>
      </c>
      <c r="H52" s="106">
        <f>Założenia!G305*H$47*H$44/1000*Założenia!$G53/100</f>
        <v>0</v>
      </c>
      <c r="I52" s="106">
        <f>Założenia!H305*I$47*I$44/1000*Założenia!$G53/100</f>
        <v>0</v>
      </c>
      <c r="J52" s="106">
        <f>Założenia!I305*J$47*J$44/1000*Założenia!$G53/100</f>
        <v>0</v>
      </c>
      <c r="K52" s="106">
        <f>Założenia!J305*K$47*K$44/1000*Założenia!$G53/100</f>
        <v>0</v>
      </c>
      <c r="L52" s="106">
        <f>Założenia!K305*L$47*L$44/1000*Założenia!$G53/100</f>
        <v>0</v>
      </c>
      <c r="M52" s="106">
        <f>Założenia!L305*M$47*M$44/1000*Założenia!$G53/100</f>
        <v>0</v>
      </c>
      <c r="N52" s="106">
        <f>Założenia!M305*N$47*N$44/1000*Założenia!$G53/100</f>
        <v>0</v>
      </c>
      <c r="O52" s="106">
        <f>Założenia!N305*O$47*O$44/1000*Założenia!$G53/100</f>
        <v>0</v>
      </c>
      <c r="P52" s="106">
        <f>Założenia!O305*P$47*P$44/1000*Założenia!$G53/100</f>
        <v>0</v>
      </c>
      <c r="Q52" s="106">
        <f>Założenia!P305*Q$47*Q$44/1000*Założenia!$G53/100</f>
        <v>0</v>
      </c>
      <c r="R52" s="106">
        <f>Założenia!Q305*R$47*R$44/1000*Założenia!$G53/100</f>
        <v>0</v>
      </c>
      <c r="S52" s="106">
        <f>Założenia!R305*S$47*S$44/1000*Założenia!$G53/100</f>
        <v>0</v>
      </c>
      <c r="T52" s="106">
        <f>Założenia!S305*T$47*T$44/1000*Założenia!$G53/100</f>
        <v>0</v>
      </c>
      <c r="U52" s="13"/>
    </row>
    <row r="53" spans="1:21" s="1" customFormat="1" ht="15">
      <c r="A53" s="96"/>
      <c r="B53" s="109" t="s">
        <v>432</v>
      </c>
      <c r="C53" s="214" t="s">
        <v>351</v>
      </c>
      <c r="D53" s="300"/>
      <c r="E53" s="106">
        <f>Założenia!D306*E$47*E$44/1000*Założenia!$G54/100</f>
        <v>0</v>
      </c>
      <c r="F53" s="106">
        <f>Założenia!E306*F$47*F$44/1000*Założenia!$G54/100</f>
        <v>0</v>
      </c>
      <c r="G53" s="106">
        <f>Założenia!F306*G$47*G$44/1000*Założenia!$G54/100</f>
        <v>0</v>
      </c>
      <c r="H53" s="106">
        <f>Założenia!G306*H$47*H$44/1000*Założenia!$G54/100</f>
        <v>0</v>
      </c>
      <c r="I53" s="106">
        <f>Założenia!H306*I$47*I$44/1000*Założenia!$G54/100</f>
        <v>0</v>
      </c>
      <c r="J53" s="106">
        <f>Założenia!I306*J$47*J$44/1000*Założenia!$G54/100</f>
        <v>0</v>
      </c>
      <c r="K53" s="106">
        <f>Założenia!J306*K$47*K$44/1000*Założenia!$G54/100</f>
        <v>0</v>
      </c>
      <c r="L53" s="106">
        <f>Założenia!K306*L$47*L$44/1000*Założenia!$G54/100</f>
        <v>0</v>
      </c>
      <c r="M53" s="106">
        <f>Założenia!L306*M$47*M$44/1000*Założenia!$G54/100</f>
        <v>0</v>
      </c>
      <c r="N53" s="106">
        <f>Założenia!M306*N$47*N$44/1000*Założenia!$G54/100</f>
        <v>0</v>
      </c>
      <c r="O53" s="106">
        <f>Założenia!N306*O$47*O$44/1000*Założenia!$G54/100</f>
        <v>0</v>
      </c>
      <c r="P53" s="106">
        <f>Założenia!O306*P$47*P$44/1000*Założenia!$G54/100</f>
        <v>0</v>
      </c>
      <c r="Q53" s="106">
        <f>Założenia!P306*Q$47*Q$44/1000*Założenia!$G54/100</f>
        <v>0</v>
      </c>
      <c r="R53" s="106">
        <f>Założenia!Q306*R$47*R$44/1000*Założenia!$G54/100</f>
        <v>0</v>
      </c>
      <c r="S53" s="106">
        <f>Założenia!R306*S$47*S$44/1000*Założenia!$G54/100</f>
        <v>0</v>
      </c>
      <c r="T53" s="106">
        <f>Założenia!S306*T$47*T$44/1000*Założenia!$G54/100</f>
        <v>0</v>
      </c>
    </row>
    <row r="54" spans="1:21" s="1" customFormat="1" ht="15">
      <c r="A54" s="96"/>
      <c r="B54" s="109" t="s">
        <v>427</v>
      </c>
      <c r="C54" s="214" t="s">
        <v>351</v>
      </c>
      <c r="D54" s="300"/>
      <c r="E54" s="106">
        <f>Założenia!D307*E$47*E$44/1000*Założenia!$G55/100</f>
        <v>0</v>
      </c>
      <c r="F54" s="106">
        <f>Założenia!E307*F$47*F$44/1000*Założenia!$G55/100</f>
        <v>0</v>
      </c>
      <c r="G54" s="106">
        <f>Założenia!F307*G$47*G$44/1000*Założenia!$G55/100</f>
        <v>0</v>
      </c>
      <c r="H54" s="106">
        <f>Założenia!G307*H$47*H$44/1000*Założenia!$G55/100</f>
        <v>0</v>
      </c>
      <c r="I54" s="106">
        <f>Założenia!H307*I$47*I$44/1000*Założenia!$G55/100</f>
        <v>0</v>
      </c>
      <c r="J54" s="106">
        <f>Założenia!I307*J$47*J$44/1000*Założenia!$G55/100</f>
        <v>0</v>
      </c>
      <c r="K54" s="106">
        <f>Założenia!J307*K$47*K$44/1000*Założenia!$G55/100</f>
        <v>0</v>
      </c>
      <c r="L54" s="106">
        <f>Założenia!K307*L$47*L$44/1000*Założenia!$G55/100</f>
        <v>0</v>
      </c>
      <c r="M54" s="106">
        <f>Założenia!L307*M$47*M$44/1000*Założenia!$G55/100</f>
        <v>0</v>
      </c>
      <c r="N54" s="106">
        <f>Założenia!M307*N$47*N$44/1000*Założenia!$G55/100</f>
        <v>0</v>
      </c>
      <c r="O54" s="106">
        <f>Założenia!N307*O$47*O$44/1000*Założenia!$G55/100</f>
        <v>0</v>
      </c>
      <c r="P54" s="106">
        <f>Założenia!O307*P$47*P$44/1000*Założenia!$G55/100</f>
        <v>0</v>
      </c>
      <c r="Q54" s="106">
        <f>Założenia!P307*Q$47*Q$44/1000*Założenia!$G55/100</f>
        <v>0</v>
      </c>
      <c r="R54" s="106">
        <f>Założenia!Q307*R$47*R$44/1000*Założenia!$G55/100</f>
        <v>0</v>
      </c>
      <c r="S54" s="106">
        <f>Założenia!R307*S$47*S$44/1000*Założenia!$G55/100</f>
        <v>0</v>
      </c>
      <c r="T54" s="106">
        <f>Założenia!S307*T$47*T$44/1000*Założenia!$G55/100</f>
        <v>0</v>
      </c>
    </row>
    <row r="55" spans="1:21" s="1" customFormat="1" ht="15">
      <c r="A55" s="96"/>
      <c r="B55" s="109" t="s">
        <v>428</v>
      </c>
      <c r="C55" s="214" t="s">
        <v>351</v>
      </c>
      <c r="D55" s="300"/>
      <c r="E55" s="106">
        <f>Założenia!D308*E$47*E$44/1000*Założenia!$G56/100</f>
        <v>0</v>
      </c>
      <c r="F55" s="106">
        <f>Założenia!E308*F$47*F$44/1000*Założenia!$G56/100</f>
        <v>0</v>
      </c>
      <c r="G55" s="106">
        <f>Założenia!F308*G$47*G$44/1000*Założenia!$G56/100</f>
        <v>0</v>
      </c>
      <c r="H55" s="106">
        <f>Założenia!G308*H$47*H$44/1000*Założenia!$G56/100</f>
        <v>0</v>
      </c>
      <c r="I55" s="106">
        <f>Założenia!H308*I$47*I$44/1000*Założenia!$G56/100</f>
        <v>0</v>
      </c>
      <c r="J55" s="106">
        <f>Założenia!I308*J$47*J$44/1000*Założenia!$G56/100</f>
        <v>0</v>
      </c>
      <c r="K55" s="106">
        <f>Założenia!J308*K$47*K$44/1000*Założenia!$G56/100</f>
        <v>0</v>
      </c>
      <c r="L55" s="106">
        <f>Założenia!K308*L$47*L$44/1000*Założenia!$G56/100</f>
        <v>0</v>
      </c>
      <c r="M55" s="106">
        <f>Założenia!L308*M$47*M$44/1000*Założenia!$G56/100</f>
        <v>0</v>
      </c>
      <c r="N55" s="106">
        <f>Założenia!M308*N$47*N$44/1000*Założenia!$G56/100</f>
        <v>0</v>
      </c>
      <c r="O55" s="106">
        <f>Założenia!N308*O$47*O$44/1000*Założenia!$G56/100</f>
        <v>0</v>
      </c>
      <c r="P55" s="106">
        <f>Założenia!O308*P$47*P$44/1000*Założenia!$G56/100</f>
        <v>0</v>
      </c>
      <c r="Q55" s="106">
        <f>Założenia!P308*Q$47*Q$44/1000*Założenia!$G56/100</f>
        <v>0</v>
      </c>
      <c r="R55" s="106">
        <f>Założenia!Q308*R$47*R$44/1000*Założenia!$G56/100</f>
        <v>0</v>
      </c>
      <c r="S55" s="106">
        <f>Założenia!R308*S$47*S$44/1000*Założenia!$G56/100</f>
        <v>0</v>
      </c>
      <c r="T55" s="106">
        <f>Założenia!S308*T$47*T$44/1000*Założenia!$G56/100</f>
        <v>0</v>
      </c>
    </row>
    <row r="56" spans="1:21" s="1" customFormat="1" ht="13.5">
      <c r="A56" s="96"/>
      <c r="B56" s="109" t="s">
        <v>429</v>
      </c>
      <c r="C56" s="214" t="s">
        <v>217</v>
      </c>
      <c r="D56" s="300"/>
      <c r="E56" s="106">
        <f>Założenia!D309*E$47*E$44/1000*Założenia!$G57/100</f>
        <v>0</v>
      </c>
      <c r="F56" s="106">
        <f>Założenia!E309*F$47*F$44/1000*Założenia!$G57/100</f>
        <v>0</v>
      </c>
      <c r="G56" s="106">
        <f>Założenia!F309*G$47*G$44/1000*Założenia!$G57/100</f>
        <v>0</v>
      </c>
      <c r="H56" s="106">
        <f>Założenia!G309*H$47*H$44/1000*Założenia!$G57/100</f>
        <v>0</v>
      </c>
      <c r="I56" s="106">
        <f>Założenia!H309*I$47*I$44/1000*Założenia!$G57/100</f>
        <v>0</v>
      </c>
      <c r="J56" s="106">
        <f>Założenia!I309*J$47*J$44/1000*Założenia!$G57/100</f>
        <v>0</v>
      </c>
      <c r="K56" s="106">
        <f>Założenia!J309*K$47*K$44/1000*Założenia!$G57/100</f>
        <v>0</v>
      </c>
      <c r="L56" s="106">
        <f>Założenia!K309*L$47*L$44/1000*Założenia!$G57/100</f>
        <v>0</v>
      </c>
      <c r="M56" s="106">
        <f>Założenia!L309*M$47*M$44/1000*Założenia!$G57/100</f>
        <v>0</v>
      </c>
      <c r="N56" s="106">
        <f>Założenia!M309*N$47*N$44/1000*Założenia!$G57/100</f>
        <v>0</v>
      </c>
      <c r="O56" s="106">
        <f>Założenia!N309*O$47*O$44/1000*Założenia!$G57/100</f>
        <v>0</v>
      </c>
      <c r="P56" s="106">
        <f>Założenia!O309*P$47*P$44/1000*Założenia!$G57/100</f>
        <v>0</v>
      </c>
      <c r="Q56" s="106">
        <f>Założenia!P309*Q$47*Q$44/1000*Założenia!$G57/100</f>
        <v>0</v>
      </c>
      <c r="R56" s="106">
        <f>Założenia!Q309*R$47*R$44/1000*Założenia!$G57/100</f>
        <v>0</v>
      </c>
      <c r="S56" s="106">
        <f>Założenia!R309*S$47*S$44/1000*Założenia!$G57/100</f>
        <v>0</v>
      </c>
      <c r="T56" s="106">
        <f>Założenia!S309*T$47*T$44/1000*Założenia!$G57/100</f>
        <v>0</v>
      </c>
    </row>
    <row r="57" spans="1:21" s="1" customFormat="1" ht="13.5">
      <c r="A57" s="96"/>
      <c r="B57" s="109" t="s">
        <v>430</v>
      </c>
      <c r="C57" s="214" t="s">
        <v>217</v>
      </c>
      <c r="D57" s="300"/>
      <c r="E57" s="106">
        <f>Założenia!D310*E$47*E$44/1000*Założenia!$G58/100+Założenia!D302*E$46*E$44/1000*Założenia!$E58/100</f>
        <v>1194.3152</v>
      </c>
      <c r="F57" s="106">
        <f>Założenia!E310*F$47*F$44/1000*Założenia!$G58/100+Założenia!E302*F$46*F$44/1000*Założenia!$E58/100</f>
        <v>1195.3021549649416</v>
      </c>
      <c r="G57" s="106">
        <f>Założenia!F310*G$47*G$44/1000*Założenia!$G58/100+Założenia!F302*G$46*G$44/1000*Założenia!$E58/100</f>
        <v>1195.3021549649416</v>
      </c>
      <c r="H57" s="106">
        <f>Założenia!G310*H$47*H$44/1000*Założenia!$G58/100+Założenia!G302*H$46*H$44/1000*Założenia!$E58/100</f>
        <v>1195.3021549649416</v>
      </c>
      <c r="I57" s="106">
        <f>Założenia!H310*I$47*I$44/1000*Założenia!$G58/100+Założenia!H302*I$46*I$44/1000*Założenia!$E58/100</f>
        <v>1195.3021549649416</v>
      </c>
      <c r="J57" s="106">
        <f>Założenia!I310*J$47*J$44/1000*Założenia!$G58/100+Założenia!I302*J$46*J$44/1000*Założenia!$E58/100</f>
        <v>1195.3021549649416</v>
      </c>
      <c r="K57" s="106">
        <f>Założenia!J310*K$47*K$44/1000*Założenia!$G58/100+Założenia!J302*K$46*K$44/1000*Założenia!$E58/100</f>
        <v>1195.3021549649416</v>
      </c>
      <c r="L57" s="106">
        <f>Założenia!K310*L$47*L$44/1000*Założenia!$G58/100+Założenia!K302*L$46*L$44/1000*Założenia!$E58/100</f>
        <v>817.001938918939</v>
      </c>
      <c r="M57" s="106">
        <f>Założenia!L310*M$47*M$44/1000*Założenia!$G58/100+Założenia!L302*M$46*M$44/1000*Założenia!$E58/100</f>
        <v>817.001938918939</v>
      </c>
      <c r="N57" s="106">
        <f>Założenia!M310*N$47*N$44/1000*Założenia!$G58/100+Założenia!M302*N$46*N$44/1000*Założenia!$E58/100</f>
        <v>817.001938918939</v>
      </c>
      <c r="O57" s="106">
        <f>Założenia!N310*O$47*O$44/1000*Założenia!$G58/100+Założenia!N302*O$46*O$44/1000*Założenia!$E58/100</f>
        <v>817.001938918939</v>
      </c>
      <c r="P57" s="106">
        <f>Założenia!O310*P$47*P$44/1000*Założenia!$G58/100+Założenia!O302*P$46*P$44/1000*Założenia!$E58/100</f>
        <v>817.001938918939</v>
      </c>
      <c r="Q57" s="106">
        <f>Założenia!P310*Q$47*Q$44/1000*Założenia!$G58/100+Założenia!P302*Q$46*Q$44/1000*Założenia!$E58/100</f>
        <v>817.001938918939</v>
      </c>
      <c r="R57" s="106">
        <f>Założenia!Q310*R$47*R$44/1000*Założenia!$G58/100+Założenia!Q302*R$46*R$44/1000*Założenia!$E58/100</f>
        <v>817.001938918939</v>
      </c>
      <c r="S57" s="106">
        <f>Założenia!R310*S$47*S$44/1000*Założenia!$G58/100+Założenia!R302*S$46*S$44/1000*Założenia!$E58/100</f>
        <v>817.001938918939</v>
      </c>
      <c r="T57" s="106">
        <f>Założenia!S310*T$47*T$44/1000*Założenia!$G58/100+Założenia!S302*T$46*T$44/1000*Założenia!$E58/100</f>
        <v>817.001938918939</v>
      </c>
    </row>
    <row r="58" spans="1:21" s="1" customFormat="1" ht="15">
      <c r="A58" s="96"/>
      <c r="B58" s="109" t="s">
        <v>431</v>
      </c>
      <c r="C58" s="214" t="s">
        <v>351</v>
      </c>
      <c r="D58" s="300"/>
      <c r="E58" s="106">
        <f>Założenia!D311*E$47*E$44/1000*Założenia!$G59/100</f>
        <v>0</v>
      </c>
      <c r="F58" s="106">
        <f>Założenia!E311*F$47*F$44/1000*Założenia!$G59/100</f>
        <v>0</v>
      </c>
      <c r="G58" s="106">
        <f>Założenia!F311*G$47*G$44/1000*Założenia!$G59/100</f>
        <v>0</v>
      </c>
      <c r="H58" s="106">
        <f>Założenia!G311*H$47*H$44/1000*Założenia!$G59/100</f>
        <v>0</v>
      </c>
      <c r="I58" s="106">
        <f>Założenia!H311*I$47*I$44/1000*Założenia!$G59/100</f>
        <v>0</v>
      </c>
      <c r="J58" s="106">
        <f>Założenia!I311*J$47*J$44/1000*Założenia!$G59/100</f>
        <v>0</v>
      </c>
      <c r="K58" s="106">
        <f>Założenia!J311*K$47*K$44/1000*Założenia!$G59/100</f>
        <v>0</v>
      </c>
      <c r="L58" s="106">
        <f>Założenia!K311*L$47*L$44/1000*Założenia!$G59/100</f>
        <v>0</v>
      </c>
      <c r="M58" s="106">
        <f>Założenia!L311*M$47*M$44/1000*Założenia!$G59/100</f>
        <v>0</v>
      </c>
      <c r="N58" s="106">
        <f>Założenia!M311*N$47*N$44/1000*Założenia!$G59/100</f>
        <v>0</v>
      </c>
      <c r="O58" s="106">
        <f>Założenia!N311*O$47*O$44/1000*Założenia!$G59/100</f>
        <v>0</v>
      </c>
      <c r="P58" s="106">
        <f>Założenia!O311*P$47*P$44/1000*Założenia!$G59/100</f>
        <v>0</v>
      </c>
      <c r="Q58" s="106">
        <f>Założenia!P311*Q$47*Q$44/1000*Założenia!$G59/100</f>
        <v>0</v>
      </c>
      <c r="R58" s="106">
        <f>Założenia!Q311*R$47*R$44/1000*Założenia!$G59/100</f>
        <v>0</v>
      </c>
      <c r="S58" s="106">
        <f>Założenia!R311*S$47*S$44/1000*Założenia!$G59/100</f>
        <v>0</v>
      </c>
      <c r="T58" s="106">
        <f>Założenia!S311*T$47*T$44/1000*Założenia!$G59/100</f>
        <v>0</v>
      </c>
    </row>
    <row r="59" spans="1:21" s="1" customFormat="1" ht="13.5">
      <c r="A59" s="96"/>
      <c r="B59" s="110" t="s">
        <v>229</v>
      </c>
      <c r="C59" s="214" t="s">
        <v>217</v>
      </c>
      <c r="D59" s="300"/>
      <c r="E59" s="106">
        <f>E49*Założenia!D312*Założenia!$E$184*Założenia!$E$123*Założenia!E116/1000000</f>
        <v>0</v>
      </c>
      <c r="F59" s="106">
        <f>F49*Założenia!E312*Założenia!$E$184*Założenia!$E$123*Założenia!F116/1000000</f>
        <v>0</v>
      </c>
      <c r="G59" s="106">
        <f>G49*Założenia!F312*Założenia!$E$184*Założenia!$E$123*Założenia!G116/1000000</f>
        <v>0</v>
      </c>
      <c r="H59" s="106">
        <f>H49*Założenia!G312*Założenia!$E$184*Założenia!$E$123*Założenia!H116/1000000</f>
        <v>0</v>
      </c>
      <c r="I59" s="106">
        <f>I49*Założenia!H312*Założenia!$E$184*Założenia!$E$123*Założenia!I116/1000000</f>
        <v>0</v>
      </c>
      <c r="J59" s="106">
        <f>J49*Założenia!I312*Założenia!$E$184*Założenia!$E$123*Założenia!J116/1000000</f>
        <v>0</v>
      </c>
      <c r="K59" s="106">
        <f>K49*Założenia!J312*Założenia!$E$184*Założenia!$E$123*Założenia!K116/1000000</f>
        <v>0</v>
      </c>
      <c r="L59" s="106">
        <f>L49*Założenia!K312*Założenia!$E$184*Założenia!$E$123*Założenia!L116/1000000</f>
        <v>550.26737967914426</v>
      </c>
      <c r="M59" s="106">
        <f>M49*Założenia!L312*Założenia!$E$184*Założenia!$E$123*Założenia!M116/1000000</f>
        <v>534.5454545454545</v>
      </c>
      <c r="N59" s="106">
        <f>N49*Założenia!M312*Założenia!$E$184*Założenia!$E$123*Założenia!N116/1000000</f>
        <v>518.82352941176464</v>
      </c>
      <c r="O59" s="106">
        <f>O49*Założenia!N312*Założenia!$E$184*Założenia!$E$123*Założenia!O116/1000000</f>
        <v>490.52406417112292</v>
      </c>
      <c r="P59" s="106">
        <f>P49*Założenia!O312*Założenia!$E$184*Założenia!$E$123*Założenia!P116/1000000</f>
        <v>462.22459893048119</v>
      </c>
      <c r="Q59" s="106">
        <f>Q49*Założenia!P312*Założenia!$E$184*Założenia!$E$123*Założenia!Q116/1000000</f>
        <v>433.92513368983953</v>
      </c>
      <c r="R59" s="106">
        <f>R49*Założenia!Q312*Założenia!$E$184*Założenia!$E$123*Założenia!R116/1000000</f>
        <v>405.6256684491978</v>
      </c>
      <c r="S59" s="106">
        <f>S49*Założenia!R312*Założenia!$E$184*Założenia!$E$123*Założenia!S116/1000000</f>
        <v>377.32620320855614</v>
      </c>
      <c r="T59" s="106">
        <f>T49*Założenia!S312*Założenia!$E$184*Założenia!$E$123*Założenia!T116/1000000</f>
        <v>341.95187165775394</v>
      </c>
    </row>
    <row r="60" spans="1:21" s="26" customFormat="1">
      <c r="A60" s="108" t="s">
        <v>35</v>
      </c>
      <c r="B60" s="166" t="s">
        <v>159</v>
      </c>
      <c r="C60" s="214" t="s">
        <v>0</v>
      </c>
      <c r="D60" s="214"/>
      <c r="E60" s="107">
        <f>(E62*Założenia!E96*(1+Założenia!$C$110)+E70*Założenia!E96)+(E72*Założenia!E99*(1+Założenia!$C$110)+E80*Założenia!E99)+(E82*Założenia!E97*(1+Założenia!$C$110)+E90*Założenia!E97)</f>
        <v>239740.03094104541</v>
      </c>
      <c r="F60" s="107">
        <f>(F62*Założenia!F96*(1+Założenia!$C$110)+F70*Założenia!F96)+(F72*Założenia!F99*(1+Założenia!$C$110)+F80*Założenia!F99)+(F82*Założenia!F97*(1+Założenia!$C$110)+F90*Założenia!F97)</f>
        <v>249700.68052200734</v>
      </c>
      <c r="G60" s="107">
        <f>(G62*Założenia!G96*(1+Założenia!$C$110)+G70*Założenia!G96)+(G72*Założenia!G99*(1+Założenia!$C$110)+G80*Założenia!G99)+(G82*Założenia!G97*(1+Założenia!$C$110)+G90*Założenia!G97)</f>
        <v>259290.57908002514</v>
      </c>
      <c r="H60" s="107">
        <f>(H62*Założenia!H96*(1+Założenia!$C$110)+H70*Założenia!H96)+(H72*Założenia!H99*(1+Założenia!$C$110)+H80*Założenia!H99)+(H82*Założenia!H97*(1+Założenia!$C$110)+H90*Założenia!H97)</f>
        <v>267412.79024230497</v>
      </c>
      <c r="I60" s="107">
        <f>(I62*Założenia!I96*(1+Założenia!$C$110)+I70*Założenia!I96)+(I72*Założenia!I99*(1+Założenia!$C$110)+I80*Założenia!I99)+(I82*Założenia!I97*(1+Założenia!$C$110)+I90*Założenia!I97)</f>
        <v>275399.3580484353</v>
      </c>
      <c r="J60" s="107">
        <f>(J62*Założenia!J96*(1+Założenia!$C$110)+J70*Założenia!J96)+(J72*Założenia!J99*(1+Założenia!$C$110)+J80*Założenia!J99)+(J82*Założenia!J97*(1+Założenia!$C$110)+J90*Założenia!J97)</f>
        <v>283665.47779287322</v>
      </c>
      <c r="K60" s="107">
        <f>(K62*Założenia!K96*(1+Założenia!$C$110)+K70*Założenia!K96)+(K72*Założenia!K99*(1+Założenia!$C$110)+K80*Założenia!K99)+(K82*Założenia!K97*(1+Założenia!$C$110)+K90*Założenia!K97)</f>
        <v>292222.29362437688</v>
      </c>
      <c r="L60" s="107">
        <f>(L62*Założenia!L96*(1+Założenia!$C$110)+L70*Założenia!L96)+(L72*Założenia!L99*(1+Założenia!$C$110)+L80*Założenia!L99)+(L82*Założenia!L97*(1+Założenia!$C$110)+L90*Założenia!L97)</f>
        <v>304603.04165876441</v>
      </c>
      <c r="M60" s="107">
        <f>(M62*Założenia!M96*(1+Założenia!$C$110)+M70*Założenia!M96)+(M72*Założenia!M99*(1+Założenia!$C$110)+M80*Założenia!M99)+(M82*Założenia!M97*(1+Założenia!$C$110)+M90*Założenia!M97)</f>
        <v>311794.60445545655</v>
      </c>
      <c r="N60" s="107">
        <f>(N62*Założenia!N96*(1+Założenia!$C$110)+N70*Założenia!N96)+(N72*Założenia!N99*(1+Założenia!$C$110)+N80*Założenia!N99)+(N82*Założenia!N97*(1+Założenia!$C$110)+N90*Założenia!N97)</f>
        <v>318695.07147097326</v>
      </c>
      <c r="O60" s="107">
        <f>(O62*Założenia!O96*(1+Założenia!$C$110)+O70*Założenia!O96)+(O72*Założenia!O99*(1+Założenia!$C$110)+O80*Założenia!O99)+(O82*Założenia!O97*(1+Założenia!$C$110)+O90*Założenia!O97)</f>
        <v>321805.87959641899</v>
      </c>
      <c r="P60" s="107">
        <f>(P62*Założenia!P96*(1+Założenia!$C$110)+P70*Założenia!P96)+(P72*Założenia!P99*(1+Założenia!$C$110)+P80*Założenia!P99)+(P82*Założenia!P97*(1+Założenia!$C$110)+P90*Założenia!P97)</f>
        <v>324659.69217042509</v>
      </c>
      <c r="Q60" s="107">
        <f>(Q62*Założenia!Q96*(1+Założenia!$C$110)+Q70*Założenia!Q96)+(Q72*Założenia!Q99*(1+Założenia!$C$110)+Q80*Założenia!Q99)+(Q82*Założenia!Q97*(1+Założenia!$C$110)+Q90*Założenia!Q97)</f>
        <v>327243.12039920792</v>
      </c>
      <c r="R60" s="107">
        <f>(R62*Założenia!R96*(1+Założenia!$C$110)+R70*Założenia!R96)+(R72*Założenia!R99*(1+Założenia!$C$110)+R80*Założenia!R99)+(R82*Założenia!R97*(1+Założenia!$C$110)+R90*Założenia!R97)</f>
        <v>329542.70478378824</v>
      </c>
      <c r="S60" s="107">
        <f>(S62*Założenia!S96*(1+Założenia!$C$110)+S70*Założenia!S96)+(S72*Założenia!S99*(1+Założenia!$C$110)+S80*Założenia!S99)+(S82*Założenia!S97*(1+Założenia!$C$110)+S90*Założenia!S97)</f>
        <v>331544.84101330215</v>
      </c>
      <c r="T60" s="107">
        <f>(T62*Założenia!T96*(1+Założenia!$C$110)+T70*Założenia!T96)+(T72*Założenia!T99*(1+Założenia!$C$110)+T80*Założenia!T99)+(T82*Założenia!T97*(1+Założenia!$C$110)+T90*Założenia!T97)</f>
        <v>332336.24085277953</v>
      </c>
      <c r="U60" s="13"/>
    </row>
    <row r="61" spans="1:21" s="26" customFormat="1">
      <c r="A61" s="96" t="s">
        <v>49</v>
      </c>
      <c r="B61" s="112" t="s">
        <v>183</v>
      </c>
      <c r="C61" s="214" t="s">
        <v>218</v>
      </c>
      <c r="D61" s="214"/>
      <c r="E61" s="194">
        <f>E62+E70</f>
        <v>1.7825600000000001</v>
      </c>
      <c r="F61" s="194">
        <f t="shared" ref="F61:T61" si="12">F62+F70</f>
        <v>1.7840330671118532</v>
      </c>
      <c r="G61" s="194">
        <f t="shared" si="12"/>
        <v>1.7840330671118532</v>
      </c>
      <c r="H61" s="194">
        <f t="shared" si="12"/>
        <v>1.7840330671118532</v>
      </c>
      <c r="I61" s="194">
        <f t="shared" si="12"/>
        <v>1.7840330671118532</v>
      </c>
      <c r="J61" s="194">
        <f t="shared" si="12"/>
        <v>1.7840330671118532</v>
      </c>
      <c r="K61" s="194">
        <f t="shared" si="12"/>
        <v>1.7840330671118532</v>
      </c>
      <c r="L61" s="194">
        <f t="shared" si="12"/>
        <v>1.9011687586760289</v>
      </c>
      <c r="M61" s="194">
        <f t="shared" si="12"/>
        <v>1.8904305553152079</v>
      </c>
      <c r="N61" s="194">
        <f t="shared" si="12"/>
        <v>1.8796923519543871</v>
      </c>
      <c r="O61" s="194">
        <f t="shared" si="12"/>
        <v>1.8469690901337803</v>
      </c>
      <c r="P61" s="194">
        <f t="shared" si="12"/>
        <v>1.8142458283131737</v>
      </c>
      <c r="Q61" s="194">
        <f t="shared" si="12"/>
        <v>1.7815225664925669</v>
      </c>
      <c r="R61" s="194">
        <f t="shared" si="12"/>
        <v>1.7487993046719601</v>
      </c>
      <c r="S61" s="194">
        <f t="shared" si="12"/>
        <v>1.7160760428513533</v>
      </c>
      <c r="T61" s="194">
        <f t="shared" si="12"/>
        <v>1.6766837915750787</v>
      </c>
      <c r="U61" s="13"/>
    </row>
    <row r="62" spans="1:21" s="26" customFormat="1">
      <c r="A62" s="96"/>
      <c r="B62" s="166" t="s">
        <v>343</v>
      </c>
      <c r="C62" s="214" t="s">
        <v>218</v>
      </c>
      <c r="D62" s="214"/>
      <c r="E62" s="194">
        <f>SUM(E63:E69)</f>
        <v>1.7825600000000001</v>
      </c>
      <c r="F62" s="194">
        <f t="shared" ref="F62:T62" si="13">SUM(F63:F69)</f>
        <v>1.7840330671118532</v>
      </c>
      <c r="G62" s="194">
        <f t="shared" si="13"/>
        <v>1.7840330671118532</v>
      </c>
      <c r="H62" s="194">
        <f t="shared" si="13"/>
        <v>1.7840330671118532</v>
      </c>
      <c r="I62" s="194">
        <f t="shared" si="13"/>
        <v>1.7840330671118532</v>
      </c>
      <c r="J62" s="194">
        <f t="shared" si="13"/>
        <v>1.7840330671118532</v>
      </c>
      <c r="K62" s="194">
        <f t="shared" si="13"/>
        <v>1.7840330671118532</v>
      </c>
      <c r="L62" s="194">
        <f t="shared" si="13"/>
        <v>1.219405878983491</v>
      </c>
      <c r="M62" s="194">
        <f t="shared" si="13"/>
        <v>1.219405878983491</v>
      </c>
      <c r="N62" s="194">
        <f t="shared" si="13"/>
        <v>1.219405878983491</v>
      </c>
      <c r="O62" s="194">
        <f t="shared" si="13"/>
        <v>1.219405878983491</v>
      </c>
      <c r="P62" s="194">
        <f t="shared" si="13"/>
        <v>1.219405878983491</v>
      </c>
      <c r="Q62" s="194">
        <f t="shared" si="13"/>
        <v>1.219405878983491</v>
      </c>
      <c r="R62" s="194">
        <f t="shared" si="13"/>
        <v>1.219405878983491</v>
      </c>
      <c r="S62" s="194">
        <f t="shared" si="13"/>
        <v>1.219405878983491</v>
      </c>
      <c r="T62" s="194">
        <f t="shared" si="13"/>
        <v>1.219405878983491</v>
      </c>
      <c r="U62" s="13"/>
    </row>
    <row r="63" spans="1:21" s="26" customFormat="1">
      <c r="A63" s="96"/>
      <c r="B63" s="109" t="s">
        <v>426</v>
      </c>
      <c r="C63" s="214" t="s">
        <v>218</v>
      </c>
      <c r="D63" s="214"/>
      <c r="E63" s="174">
        <f>Założenia!D305*Założenia!D$321*Założenia!$F72/1000000</f>
        <v>0</v>
      </c>
      <c r="F63" s="174">
        <f>Założenia!E305*Założenia!E$321*Założenia!$F72/1000000</f>
        <v>0</v>
      </c>
      <c r="G63" s="174">
        <f>Założenia!F305*Założenia!F$321*Założenia!$F72/1000000</f>
        <v>0</v>
      </c>
      <c r="H63" s="174">
        <f>Założenia!G305*Założenia!G$321*Założenia!$F72/1000000</f>
        <v>0</v>
      </c>
      <c r="I63" s="174">
        <f>Założenia!H305*Założenia!H$321*Założenia!$F72/1000000</f>
        <v>0</v>
      </c>
      <c r="J63" s="174">
        <f>Założenia!I305*Założenia!I$321*Założenia!$F72/1000000</f>
        <v>0</v>
      </c>
      <c r="K63" s="174">
        <f>Założenia!J305*Założenia!J$321*Założenia!$F72/1000000</f>
        <v>0</v>
      </c>
      <c r="L63" s="174">
        <f>Założenia!K305*Założenia!K$321*Założenia!$F72/1000000</f>
        <v>0</v>
      </c>
      <c r="M63" s="174">
        <f>Założenia!L305*Założenia!L$321*Założenia!$F72/1000000</f>
        <v>0</v>
      </c>
      <c r="N63" s="174">
        <f>Założenia!M305*Założenia!M$321*Założenia!$F72/1000000</f>
        <v>0</v>
      </c>
      <c r="O63" s="174">
        <f>Założenia!N305*Założenia!N$321*Założenia!$F72/1000000</f>
        <v>0</v>
      </c>
      <c r="P63" s="174">
        <f>Założenia!O305*Założenia!O$321*Założenia!$F72/1000000</f>
        <v>0</v>
      </c>
      <c r="Q63" s="174">
        <f>Założenia!P305*Założenia!P$321*Założenia!$F72/1000000</f>
        <v>0</v>
      </c>
      <c r="R63" s="174">
        <f>Założenia!Q305*Założenia!Q$321*Założenia!$F72/1000000</f>
        <v>0</v>
      </c>
      <c r="S63" s="174">
        <f>Założenia!R305*Założenia!R$321*Założenia!$F72/1000000</f>
        <v>0</v>
      </c>
      <c r="T63" s="174">
        <f>Założenia!S305*Założenia!S$321*Założenia!$F72/1000000</f>
        <v>0</v>
      </c>
      <c r="U63" s="13"/>
    </row>
    <row r="64" spans="1:21" s="32" customFormat="1" ht="12">
      <c r="A64" s="96"/>
      <c r="B64" s="109" t="s">
        <v>432</v>
      </c>
      <c r="C64" s="214" t="s">
        <v>218</v>
      </c>
      <c r="D64" s="214"/>
      <c r="E64" s="174">
        <f>Założenia!D306*Założenia!D$321*Założenia!$F73/1000000</f>
        <v>0</v>
      </c>
      <c r="F64" s="174">
        <f>Założenia!E306*Założenia!E$321*Założenia!$F73/1000000</f>
        <v>0</v>
      </c>
      <c r="G64" s="174">
        <f>Założenia!F306*Założenia!F$321*Założenia!$F73/1000000</f>
        <v>0</v>
      </c>
      <c r="H64" s="174">
        <f>Założenia!G306*Założenia!G$321*Założenia!$F73/1000000</f>
        <v>0</v>
      </c>
      <c r="I64" s="174">
        <f>Założenia!H306*Założenia!H$321*Założenia!$F73/1000000</f>
        <v>0</v>
      </c>
      <c r="J64" s="174">
        <f>Założenia!I306*Założenia!I$321*Założenia!$F73/1000000</f>
        <v>0</v>
      </c>
      <c r="K64" s="174">
        <f>Założenia!J306*Założenia!J$321*Założenia!$F73/1000000</f>
        <v>0</v>
      </c>
      <c r="L64" s="174">
        <f>Założenia!K306*Założenia!K$321*Założenia!$F73/1000000</f>
        <v>0</v>
      </c>
      <c r="M64" s="174">
        <f>Założenia!L306*Założenia!L$321*Założenia!$F73/1000000</f>
        <v>0</v>
      </c>
      <c r="N64" s="174">
        <f>Założenia!M306*Założenia!M$321*Założenia!$F73/1000000</f>
        <v>0</v>
      </c>
      <c r="O64" s="174">
        <f>Założenia!N306*Założenia!N$321*Założenia!$F73/1000000</f>
        <v>0</v>
      </c>
      <c r="P64" s="174">
        <f>Założenia!O306*Założenia!O$321*Założenia!$F73/1000000</f>
        <v>0</v>
      </c>
      <c r="Q64" s="174">
        <f>Założenia!P306*Założenia!P$321*Założenia!$F73/1000000</f>
        <v>0</v>
      </c>
      <c r="R64" s="174">
        <f>Założenia!Q306*Założenia!Q$321*Założenia!$F73/1000000</f>
        <v>0</v>
      </c>
      <c r="S64" s="174">
        <f>Założenia!R306*Założenia!R$321*Założenia!$F73/1000000</f>
        <v>0</v>
      </c>
      <c r="T64" s="174">
        <f>Założenia!S306*Założenia!S$321*Założenia!$F73/1000000</f>
        <v>0</v>
      </c>
      <c r="U64" s="13"/>
    </row>
    <row r="65" spans="1:21" s="32" customFormat="1" ht="12">
      <c r="A65" s="96"/>
      <c r="B65" s="109" t="s">
        <v>427</v>
      </c>
      <c r="C65" s="214" t="s">
        <v>218</v>
      </c>
      <c r="D65" s="214"/>
      <c r="E65" s="174">
        <f>Założenia!D307*Założenia!D$321*Założenia!$F74/1000000</f>
        <v>0</v>
      </c>
      <c r="F65" s="174">
        <f>Założenia!E307*Założenia!E$321*Założenia!$F74/1000000</f>
        <v>0</v>
      </c>
      <c r="G65" s="174">
        <f>Założenia!F307*Założenia!F$321*Założenia!$F74/1000000</f>
        <v>0</v>
      </c>
      <c r="H65" s="174">
        <f>Założenia!G307*Założenia!G$321*Założenia!$F74/1000000</f>
        <v>0</v>
      </c>
      <c r="I65" s="174">
        <f>Założenia!H307*Założenia!H$321*Założenia!$F74/1000000</f>
        <v>0</v>
      </c>
      <c r="J65" s="174">
        <f>Założenia!I307*Założenia!I$321*Założenia!$F74/1000000</f>
        <v>0</v>
      </c>
      <c r="K65" s="174">
        <f>Założenia!J307*Założenia!J$321*Założenia!$F74/1000000</f>
        <v>0</v>
      </c>
      <c r="L65" s="174">
        <f>Założenia!K307*Założenia!K$321*Założenia!$F74/1000000</f>
        <v>0</v>
      </c>
      <c r="M65" s="174">
        <f>Założenia!L307*Założenia!L$321*Założenia!$F74/1000000</f>
        <v>0</v>
      </c>
      <c r="N65" s="174">
        <f>Założenia!M307*Założenia!M$321*Założenia!$F74/1000000</f>
        <v>0</v>
      </c>
      <c r="O65" s="174">
        <f>Założenia!N307*Założenia!N$321*Założenia!$F74/1000000</f>
        <v>0</v>
      </c>
      <c r="P65" s="174">
        <f>Założenia!O307*Założenia!O$321*Założenia!$F74/1000000</f>
        <v>0</v>
      </c>
      <c r="Q65" s="174">
        <f>Założenia!P307*Założenia!P$321*Założenia!$F74/1000000</f>
        <v>0</v>
      </c>
      <c r="R65" s="174">
        <f>Założenia!Q307*Założenia!Q$321*Założenia!$F74/1000000</f>
        <v>0</v>
      </c>
      <c r="S65" s="174">
        <f>Założenia!R307*Założenia!R$321*Założenia!$F74/1000000</f>
        <v>0</v>
      </c>
      <c r="T65" s="174">
        <f>Założenia!S307*Założenia!S$321*Założenia!$F74/1000000</f>
        <v>0</v>
      </c>
      <c r="U65" s="13"/>
    </row>
    <row r="66" spans="1:21" s="32" customFormat="1" ht="12">
      <c r="A66" s="96"/>
      <c r="B66" s="109" t="s">
        <v>428</v>
      </c>
      <c r="C66" s="214" t="s">
        <v>218</v>
      </c>
      <c r="D66" s="214"/>
      <c r="E66" s="174">
        <f>Założenia!D308*Założenia!D$321*Założenia!$F75/1000000</f>
        <v>0</v>
      </c>
      <c r="F66" s="174">
        <f>Założenia!E308*Założenia!E$321*Założenia!$F75/1000000</f>
        <v>0</v>
      </c>
      <c r="G66" s="174">
        <f>Założenia!F308*Założenia!F$321*Założenia!$F75/1000000</f>
        <v>0</v>
      </c>
      <c r="H66" s="174">
        <f>Założenia!G308*Założenia!G$321*Założenia!$F75/1000000</f>
        <v>0</v>
      </c>
      <c r="I66" s="174">
        <f>Założenia!H308*Założenia!H$321*Założenia!$F75/1000000</f>
        <v>0</v>
      </c>
      <c r="J66" s="174">
        <f>Założenia!I308*Założenia!I$321*Założenia!$F75/1000000</f>
        <v>0</v>
      </c>
      <c r="K66" s="174">
        <f>Założenia!J308*Założenia!J$321*Założenia!$F75/1000000</f>
        <v>0</v>
      </c>
      <c r="L66" s="174">
        <f>Założenia!K308*Założenia!K$321*Założenia!$F75/1000000</f>
        <v>0</v>
      </c>
      <c r="M66" s="174">
        <f>Założenia!L308*Założenia!L$321*Założenia!$F75/1000000</f>
        <v>0</v>
      </c>
      <c r="N66" s="174">
        <f>Założenia!M308*Założenia!M$321*Założenia!$F75/1000000</f>
        <v>0</v>
      </c>
      <c r="O66" s="174">
        <f>Założenia!N308*Założenia!N$321*Założenia!$F75/1000000</f>
        <v>0</v>
      </c>
      <c r="P66" s="174">
        <f>Założenia!O308*Założenia!O$321*Założenia!$F75/1000000</f>
        <v>0</v>
      </c>
      <c r="Q66" s="174">
        <f>Założenia!P308*Założenia!P$321*Założenia!$F75/1000000</f>
        <v>0</v>
      </c>
      <c r="R66" s="174">
        <f>Założenia!Q308*Założenia!Q$321*Założenia!$F75/1000000</f>
        <v>0</v>
      </c>
      <c r="S66" s="174">
        <f>Założenia!R308*Założenia!R$321*Założenia!$F75/1000000</f>
        <v>0</v>
      </c>
      <c r="T66" s="174">
        <f>Założenia!S308*Założenia!S$321*Założenia!$F75/1000000</f>
        <v>0</v>
      </c>
      <c r="U66" s="13"/>
    </row>
    <row r="67" spans="1:21" s="32" customFormat="1" ht="12">
      <c r="A67" s="96"/>
      <c r="B67" s="109" t="s">
        <v>429</v>
      </c>
      <c r="C67" s="214" t="s">
        <v>218</v>
      </c>
      <c r="D67" s="214"/>
      <c r="E67" s="174">
        <f>Założenia!D309*Założenia!D$321*Założenia!$F76/1000000</f>
        <v>0</v>
      </c>
      <c r="F67" s="174">
        <f>Założenia!E309*Założenia!E$321*Założenia!$F76/1000000</f>
        <v>0</v>
      </c>
      <c r="G67" s="174">
        <f>Założenia!F309*Założenia!F$321*Założenia!$F76/1000000</f>
        <v>0</v>
      </c>
      <c r="H67" s="174">
        <f>Założenia!G309*Założenia!G$321*Założenia!$F76/1000000</f>
        <v>0</v>
      </c>
      <c r="I67" s="174">
        <f>Założenia!H309*Założenia!H$321*Założenia!$F76/1000000</f>
        <v>0</v>
      </c>
      <c r="J67" s="174">
        <f>Założenia!I309*Założenia!I$321*Założenia!$F76/1000000</f>
        <v>0</v>
      </c>
      <c r="K67" s="174">
        <f>Założenia!J309*Założenia!J$321*Założenia!$F76/1000000</f>
        <v>0</v>
      </c>
      <c r="L67" s="174">
        <f>Założenia!K309*Założenia!K$321*Założenia!$F76/1000000</f>
        <v>0</v>
      </c>
      <c r="M67" s="174">
        <f>Założenia!L309*Założenia!L$321*Założenia!$F76/1000000</f>
        <v>0</v>
      </c>
      <c r="N67" s="174">
        <f>Założenia!M309*Założenia!M$321*Założenia!$F76/1000000</f>
        <v>0</v>
      </c>
      <c r="O67" s="174">
        <f>Założenia!N309*Założenia!N$321*Założenia!$F76/1000000</f>
        <v>0</v>
      </c>
      <c r="P67" s="174">
        <f>Założenia!O309*Założenia!O$321*Założenia!$F76/1000000</f>
        <v>0</v>
      </c>
      <c r="Q67" s="174">
        <f>Założenia!P309*Założenia!P$321*Założenia!$F76/1000000</f>
        <v>0</v>
      </c>
      <c r="R67" s="174">
        <f>Założenia!Q309*Założenia!Q$321*Założenia!$F76/1000000</f>
        <v>0</v>
      </c>
      <c r="S67" s="174">
        <f>Założenia!R309*Założenia!R$321*Założenia!$F76/1000000</f>
        <v>0</v>
      </c>
      <c r="T67" s="174">
        <f>Założenia!S309*Założenia!S$321*Założenia!$F76/1000000</f>
        <v>0</v>
      </c>
      <c r="U67" s="13"/>
    </row>
    <row r="68" spans="1:21" s="32" customFormat="1" ht="12">
      <c r="A68" s="96"/>
      <c r="B68" s="109" t="s">
        <v>430</v>
      </c>
      <c r="C68" s="214" t="s">
        <v>218</v>
      </c>
      <c r="D68" s="214"/>
      <c r="E68" s="174">
        <f>Założenia!D310*Założenia!D$321*Założenia!$F77/1000000+Założenia!D302*Założenia!D320*Założenia!$F68/1000000</f>
        <v>1.7825600000000001</v>
      </c>
      <c r="F68" s="174">
        <f>Założenia!E310*Założenia!E$321*Założenia!$F77/1000000+Założenia!E302*Założenia!E320*Założenia!$F68/1000000</f>
        <v>1.7840330671118532</v>
      </c>
      <c r="G68" s="174">
        <f>Założenia!F310*Założenia!F$321*Założenia!$F77/1000000+Założenia!F302*Założenia!F320*Założenia!$F68/1000000</f>
        <v>1.7840330671118532</v>
      </c>
      <c r="H68" s="174">
        <f>Założenia!G310*Założenia!G$321*Założenia!$F77/1000000+Założenia!G302*Założenia!G320*Założenia!$F68/1000000</f>
        <v>1.7840330671118532</v>
      </c>
      <c r="I68" s="174">
        <f>Założenia!H310*Założenia!H$321*Założenia!$F77/1000000+Założenia!H302*Założenia!H320*Założenia!$F68/1000000</f>
        <v>1.7840330671118532</v>
      </c>
      <c r="J68" s="174">
        <f>Założenia!I310*Założenia!I$321*Założenia!$F77/1000000+Założenia!I302*Założenia!I320*Założenia!$F68/1000000</f>
        <v>1.7840330671118532</v>
      </c>
      <c r="K68" s="174">
        <f>Założenia!J310*Założenia!J$321*Założenia!$F77/1000000+Założenia!J302*Założenia!J320*Założenia!$F68/1000000</f>
        <v>1.7840330671118532</v>
      </c>
      <c r="L68" s="174">
        <f>Założenia!K310*Założenia!K$321*Założenia!$F77/1000000+Założenia!K302*Założenia!K320*Założenia!$F68/1000000</f>
        <v>1.219405878983491</v>
      </c>
      <c r="M68" s="174">
        <f>Założenia!L310*Założenia!L$321*Założenia!$F77/1000000+Założenia!L302*Założenia!L320*Założenia!$F68/1000000</f>
        <v>1.219405878983491</v>
      </c>
      <c r="N68" s="174">
        <f>Założenia!M310*Założenia!M$321*Założenia!$F77/1000000+Założenia!M302*Założenia!M320*Założenia!$F68/1000000</f>
        <v>1.219405878983491</v>
      </c>
      <c r="O68" s="174">
        <f>Założenia!N310*Założenia!N$321*Założenia!$F77/1000000+Założenia!N302*Założenia!N320*Założenia!$F68/1000000</f>
        <v>1.219405878983491</v>
      </c>
      <c r="P68" s="174">
        <f>Założenia!O310*Założenia!O$321*Założenia!$F77/1000000+Założenia!O302*Założenia!O320*Założenia!$F68/1000000</f>
        <v>1.219405878983491</v>
      </c>
      <c r="Q68" s="174">
        <f>Założenia!P310*Założenia!P$321*Założenia!$F77/1000000+Założenia!P302*Założenia!P320*Założenia!$F68/1000000</f>
        <v>1.219405878983491</v>
      </c>
      <c r="R68" s="174">
        <f>Założenia!Q310*Założenia!Q$321*Założenia!$F77/1000000+Założenia!Q302*Założenia!Q320*Założenia!$F68/1000000</f>
        <v>1.219405878983491</v>
      </c>
      <c r="S68" s="174">
        <f>Założenia!R310*Założenia!R$321*Założenia!$F77/1000000+Założenia!R302*Założenia!R320*Założenia!$F68/1000000</f>
        <v>1.219405878983491</v>
      </c>
      <c r="T68" s="174">
        <f>Założenia!S310*Założenia!S$321*Założenia!$F77/1000000+Założenia!S302*Założenia!S320*Założenia!$F68/1000000</f>
        <v>1.219405878983491</v>
      </c>
      <c r="U68" s="13"/>
    </row>
    <row r="69" spans="1:21" s="1" customFormat="1" ht="12">
      <c r="A69" s="96"/>
      <c r="B69" s="109" t="s">
        <v>431</v>
      </c>
      <c r="C69" s="214" t="s">
        <v>218</v>
      </c>
      <c r="D69" s="300"/>
      <c r="E69" s="174">
        <f>Założenia!D311*Założenia!D$322*Założenia!$I77/1000000</f>
        <v>0</v>
      </c>
      <c r="F69" s="174">
        <f>Założenia!E311*Założenia!E$322*Założenia!$I77/1000000</f>
        <v>0</v>
      </c>
      <c r="G69" s="174">
        <f>Założenia!F311*Założenia!F$322*Założenia!$I77/1000000</f>
        <v>0</v>
      </c>
      <c r="H69" s="174">
        <f>Założenia!G311*Założenia!G$322*Założenia!$I77/1000000</f>
        <v>0</v>
      </c>
      <c r="I69" s="174">
        <f>Założenia!H311*Założenia!H$322*Założenia!$I77/1000000</f>
        <v>0</v>
      </c>
      <c r="J69" s="174">
        <f>Założenia!I311*Założenia!I$322*Założenia!$I77/1000000</f>
        <v>0</v>
      </c>
      <c r="K69" s="174">
        <f>Założenia!J311*Założenia!J$322*Założenia!$I77/1000000</f>
        <v>0</v>
      </c>
      <c r="L69" s="174">
        <f>Założenia!K311*Założenia!K$322*Założenia!$I77/1000000</f>
        <v>0</v>
      </c>
      <c r="M69" s="174">
        <f>Założenia!L311*Założenia!L$322*Założenia!$I77/1000000</f>
        <v>0</v>
      </c>
      <c r="N69" s="174">
        <f>Założenia!M311*Założenia!M$322*Założenia!$I77/1000000</f>
        <v>0</v>
      </c>
      <c r="O69" s="174">
        <f>Założenia!N311*Założenia!N$322*Założenia!$I77/1000000</f>
        <v>0</v>
      </c>
      <c r="P69" s="174">
        <f>Założenia!O311*Założenia!O$322*Założenia!$I77/1000000</f>
        <v>0</v>
      </c>
      <c r="Q69" s="174">
        <f>Założenia!P311*Założenia!P$322*Założenia!$I77/1000000</f>
        <v>0</v>
      </c>
      <c r="R69" s="174">
        <f>Założenia!Q311*Założenia!Q$322*Założenia!$I77/1000000</f>
        <v>0</v>
      </c>
      <c r="S69" s="174">
        <f>Założenia!R311*Założenia!R$322*Założenia!$I77/1000000</f>
        <v>0</v>
      </c>
      <c r="T69" s="174">
        <f>Założenia!S311*Założenia!S$322*Założenia!$I77/1000000</f>
        <v>0</v>
      </c>
    </row>
    <row r="70" spans="1:21" s="1" customFormat="1" ht="12">
      <c r="A70" s="96"/>
      <c r="B70" s="110" t="s">
        <v>229</v>
      </c>
      <c r="C70" s="214" t="s">
        <v>218</v>
      </c>
      <c r="D70" s="300"/>
      <c r="E70" s="194">
        <f>Założenia!D312*Założenia!D$323*Założenia!$E$184*Założenia!$E$123*Założenia!E92/1000000</f>
        <v>0</v>
      </c>
      <c r="F70" s="194">
        <f>Założenia!E312*Założenia!E$323*Założenia!$E$184*Założenia!$E$123*Założenia!F92/1000000</f>
        <v>0</v>
      </c>
      <c r="G70" s="194">
        <f>Założenia!F312*Założenia!F$323*Założenia!$E$184*Założenia!$E$123*Założenia!G92/1000000</f>
        <v>0</v>
      </c>
      <c r="H70" s="194">
        <f>Założenia!G312*Założenia!G$323*Założenia!$E$184*Założenia!$E$123*Założenia!H92/1000000</f>
        <v>0</v>
      </c>
      <c r="I70" s="194">
        <f>Założenia!H312*Założenia!H$323*Założenia!$E$184*Założenia!$E$123*Założenia!I92/1000000</f>
        <v>0</v>
      </c>
      <c r="J70" s="194">
        <f>Założenia!I312*Założenia!I$323*Założenia!$E$184*Założenia!$E$123*Założenia!J92/1000000</f>
        <v>0</v>
      </c>
      <c r="K70" s="194">
        <f>Założenia!J312*Założenia!J$323*Założenia!$E$184*Założenia!$E$123*Założenia!K92/1000000</f>
        <v>0</v>
      </c>
      <c r="L70" s="194">
        <f>Założenia!K312*Założenia!K$323*Założenia!$E$184*Założenia!$E$123*Założenia!L92/1000000</f>
        <v>0.6817628796925379</v>
      </c>
      <c r="M70" s="194">
        <f>Założenia!L312*Założenia!L$323*Założenia!$E$184*Założenia!$E$123*Założenia!M92/1000000</f>
        <v>0.67102467633171703</v>
      </c>
      <c r="N70" s="194">
        <f>Założenia!M312*Założenia!M$323*Założenia!$E$184*Założenia!$E$123*Założenia!N92/1000000</f>
        <v>0.66028647297089615</v>
      </c>
      <c r="O70" s="194">
        <f>Założenia!N312*Założenia!N$323*Założenia!$E$184*Założenia!$E$123*Założenia!O92/1000000</f>
        <v>0.62756321115028935</v>
      </c>
      <c r="P70" s="194">
        <f>Założenia!O312*Założenia!O$323*Założenia!$E$184*Założenia!$E$123*Założenia!P92/1000000</f>
        <v>0.59483994932968265</v>
      </c>
      <c r="Q70" s="194">
        <f>Założenia!P312*Założenia!P$323*Założenia!$E$184*Założenia!$E$123*Założenia!Q92/1000000</f>
        <v>0.56211668750907584</v>
      </c>
      <c r="R70" s="194">
        <f>Założenia!Q312*Założenia!Q$323*Założenia!$E$184*Założenia!$E$123*Założenia!R92/1000000</f>
        <v>0.52939342568846903</v>
      </c>
      <c r="S70" s="194">
        <f>Założenia!R312*Założenia!R$323*Założenia!$E$184*Założenia!$E$123*Założenia!S92/1000000</f>
        <v>0.49667016386786228</v>
      </c>
      <c r="T70" s="194">
        <f>Założenia!S312*Założenia!S$323*Założenia!$E$184*Założenia!$E$123*Założenia!T92/1000000</f>
        <v>0.45727791259158779</v>
      </c>
    </row>
    <row r="71" spans="1:21" s="26" customFormat="1">
      <c r="A71" s="96" t="s">
        <v>50</v>
      </c>
      <c r="B71" s="112" t="s">
        <v>184</v>
      </c>
      <c r="C71" s="214" t="s">
        <v>219</v>
      </c>
      <c r="D71" s="214"/>
      <c r="E71" s="194">
        <f>E72+E80</f>
        <v>4.4564000000000006E-2</v>
      </c>
      <c r="F71" s="194">
        <f t="shared" ref="F71:T71" si="14">F72+F80</f>
        <v>4.4600826677796329E-2</v>
      </c>
      <c r="G71" s="194">
        <f t="shared" si="14"/>
        <v>4.4600826677796329E-2</v>
      </c>
      <c r="H71" s="194">
        <f t="shared" si="14"/>
        <v>4.4600826677796329E-2</v>
      </c>
      <c r="I71" s="194">
        <f t="shared" si="14"/>
        <v>4.4600826677796329E-2</v>
      </c>
      <c r="J71" s="194">
        <f t="shared" si="14"/>
        <v>4.4600826677796329E-2</v>
      </c>
      <c r="K71" s="194">
        <f t="shared" si="14"/>
        <v>4.4600826677796329E-2</v>
      </c>
      <c r="L71" s="194">
        <f t="shared" si="14"/>
        <v>4.9167728008312477E-2</v>
      </c>
      <c r="M71" s="194">
        <f t="shared" si="14"/>
        <v>4.887588622849616E-2</v>
      </c>
      <c r="N71" s="194">
        <f t="shared" si="14"/>
        <v>4.858404444867985E-2</v>
      </c>
      <c r="O71" s="194">
        <f t="shared" si="14"/>
        <v>4.7684983481826357E-2</v>
      </c>
      <c r="P71" s="194">
        <f t="shared" si="14"/>
        <v>4.6785922514972864E-2</v>
      </c>
      <c r="Q71" s="194">
        <f t="shared" si="14"/>
        <v>4.588686154811937E-2</v>
      </c>
      <c r="R71" s="194">
        <f t="shared" si="14"/>
        <v>4.4987800581265877E-2</v>
      </c>
      <c r="S71" s="194">
        <f t="shared" si="14"/>
        <v>4.4088739614412384E-2</v>
      </c>
      <c r="T71" s="194">
        <f t="shared" si="14"/>
        <v>4.3017868567505731E-2</v>
      </c>
      <c r="U71" s="13"/>
    </row>
    <row r="72" spans="1:21" s="26" customFormat="1">
      <c r="A72" s="96"/>
      <c r="B72" s="166" t="s">
        <v>343</v>
      </c>
      <c r="C72" s="214" t="s">
        <v>219</v>
      </c>
      <c r="D72" s="214"/>
      <c r="E72" s="194">
        <f>SUM(E73:E79)</f>
        <v>4.4564000000000006E-2</v>
      </c>
      <c r="F72" s="194">
        <f t="shared" ref="F72" si="15">SUM(F73:F79)</f>
        <v>4.4600826677796329E-2</v>
      </c>
      <c r="G72" s="194">
        <f t="shared" ref="G72" si="16">SUM(G73:G79)</f>
        <v>4.4600826677796329E-2</v>
      </c>
      <c r="H72" s="194">
        <f t="shared" ref="H72" si="17">SUM(H73:H79)</f>
        <v>4.4600826677796329E-2</v>
      </c>
      <c r="I72" s="194">
        <f t="shared" ref="I72" si="18">SUM(I73:I79)</f>
        <v>4.4600826677796329E-2</v>
      </c>
      <c r="J72" s="194">
        <f t="shared" ref="J72" si="19">SUM(J73:J79)</f>
        <v>4.4600826677796329E-2</v>
      </c>
      <c r="K72" s="194">
        <f t="shared" ref="K72" si="20">SUM(K73:K79)</f>
        <v>4.4600826677796329E-2</v>
      </c>
      <c r="L72" s="194">
        <f t="shared" ref="L72" si="21">SUM(L73:L79)</f>
        <v>3.0485146974587277E-2</v>
      </c>
      <c r="M72" s="194">
        <f t="shared" ref="M72" si="22">SUM(M73:M79)</f>
        <v>3.0485146974587277E-2</v>
      </c>
      <c r="N72" s="194">
        <f t="shared" ref="N72" si="23">SUM(N73:N79)</f>
        <v>3.0485146974587277E-2</v>
      </c>
      <c r="O72" s="194">
        <f t="shared" ref="O72" si="24">SUM(O73:O79)</f>
        <v>3.0485146974587277E-2</v>
      </c>
      <c r="P72" s="194">
        <f t="shared" ref="P72" si="25">SUM(P73:P79)</f>
        <v>3.0485146974587277E-2</v>
      </c>
      <c r="Q72" s="194">
        <f t="shared" ref="Q72" si="26">SUM(Q73:Q79)</f>
        <v>3.0485146974587277E-2</v>
      </c>
      <c r="R72" s="194">
        <f t="shared" ref="R72" si="27">SUM(R73:R79)</f>
        <v>3.0485146974587277E-2</v>
      </c>
      <c r="S72" s="194">
        <f t="shared" ref="S72" si="28">SUM(S73:S79)</f>
        <v>3.0485146974587277E-2</v>
      </c>
      <c r="T72" s="194">
        <f t="shared" ref="T72" si="29">SUM(T73:T79)</f>
        <v>3.0485146974587277E-2</v>
      </c>
      <c r="U72" s="13"/>
    </row>
    <row r="73" spans="1:21" s="26" customFormat="1">
      <c r="A73" s="96"/>
      <c r="B73" s="109" t="s">
        <v>426</v>
      </c>
      <c r="C73" s="214" t="s">
        <v>219</v>
      </c>
      <c r="D73" s="214"/>
      <c r="E73" s="174">
        <f>Założenia!D305*Założenia!D$321*Założenia!$G72/1000000</f>
        <v>0</v>
      </c>
      <c r="F73" s="174">
        <f>Założenia!E305*Założenia!E$321*Założenia!$G72/1000000</f>
        <v>0</v>
      </c>
      <c r="G73" s="174">
        <f>Założenia!F305*Założenia!F$321*Założenia!$G72/1000000</f>
        <v>0</v>
      </c>
      <c r="H73" s="174">
        <f>Założenia!G305*Założenia!G$321*Założenia!$G72/1000000</f>
        <v>0</v>
      </c>
      <c r="I73" s="174">
        <f>Założenia!H305*Założenia!H$321*Założenia!$G72/1000000</f>
        <v>0</v>
      </c>
      <c r="J73" s="174">
        <f>Założenia!I305*Założenia!I$321*Założenia!$G72/1000000</f>
        <v>0</v>
      </c>
      <c r="K73" s="174">
        <f>Założenia!J305*Założenia!J$321*Założenia!$G72/1000000</f>
        <v>0</v>
      </c>
      <c r="L73" s="174">
        <f>Założenia!K305*Założenia!K$321*Założenia!$G72/1000000</f>
        <v>0</v>
      </c>
      <c r="M73" s="174">
        <f>Założenia!L305*Założenia!L$321*Założenia!$G72/1000000</f>
        <v>0</v>
      </c>
      <c r="N73" s="174">
        <f>Założenia!M305*Założenia!M$321*Założenia!$G72/1000000</f>
        <v>0</v>
      </c>
      <c r="O73" s="174">
        <f>Założenia!N305*Założenia!N$321*Założenia!$G72/1000000</f>
        <v>0</v>
      </c>
      <c r="P73" s="174">
        <f>Założenia!O305*Założenia!O$321*Założenia!$G72/1000000</f>
        <v>0</v>
      </c>
      <c r="Q73" s="174">
        <f>Założenia!P305*Założenia!P$321*Założenia!$G72/1000000</f>
        <v>0</v>
      </c>
      <c r="R73" s="174">
        <f>Założenia!Q305*Założenia!Q$321*Założenia!$G72/1000000</f>
        <v>0</v>
      </c>
      <c r="S73" s="174">
        <f>Założenia!R305*Założenia!R$321*Założenia!$G72/1000000</f>
        <v>0</v>
      </c>
      <c r="T73" s="174">
        <f>Założenia!S305*Założenia!S$321*Założenia!$G72/1000000</f>
        <v>0</v>
      </c>
      <c r="U73" s="13"/>
    </row>
    <row r="74" spans="1:21" s="32" customFormat="1" ht="12">
      <c r="A74" s="96"/>
      <c r="B74" s="109" t="s">
        <v>432</v>
      </c>
      <c r="C74" s="214" t="s">
        <v>219</v>
      </c>
      <c r="D74" s="214"/>
      <c r="E74" s="174">
        <f>Założenia!D306*Założenia!D$321*Założenia!$G73/1000000</f>
        <v>0</v>
      </c>
      <c r="F74" s="174">
        <f>Założenia!E306*Założenia!E$321*Założenia!$G73/1000000</f>
        <v>0</v>
      </c>
      <c r="G74" s="174">
        <f>Założenia!F306*Założenia!F$321*Założenia!$G73/1000000</f>
        <v>0</v>
      </c>
      <c r="H74" s="174">
        <f>Założenia!G306*Założenia!G$321*Założenia!$G73/1000000</f>
        <v>0</v>
      </c>
      <c r="I74" s="174">
        <f>Założenia!H306*Założenia!H$321*Założenia!$G73/1000000</f>
        <v>0</v>
      </c>
      <c r="J74" s="174">
        <f>Założenia!I306*Założenia!I$321*Założenia!$G73/1000000</f>
        <v>0</v>
      </c>
      <c r="K74" s="174">
        <f>Założenia!J306*Założenia!J$321*Założenia!$G73/1000000</f>
        <v>0</v>
      </c>
      <c r="L74" s="174">
        <f>Założenia!K306*Założenia!K$321*Założenia!$G73/1000000</f>
        <v>0</v>
      </c>
      <c r="M74" s="174">
        <f>Założenia!L306*Założenia!L$321*Założenia!$G73/1000000</f>
        <v>0</v>
      </c>
      <c r="N74" s="174">
        <f>Założenia!M306*Założenia!M$321*Założenia!$G73/1000000</f>
        <v>0</v>
      </c>
      <c r="O74" s="174">
        <f>Założenia!N306*Założenia!N$321*Założenia!$G73/1000000</f>
        <v>0</v>
      </c>
      <c r="P74" s="174">
        <f>Założenia!O306*Założenia!O$321*Założenia!$G73/1000000</f>
        <v>0</v>
      </c>
      <c r="Q74" s="174">
        <f>Założenia!P306*Założenia!P$321*Założenia!$G73/1000000</f>
        <v>0</v>
      </c>
      <c r="R74" s="174">
        <f>Założenia!Q306*Założenia!Q$321*Założenia!$G73/1000000</f>
        <v>0</v>
      </c>
      <c r="S74" s="174">
        <f>Założenia!R306*Założenia!R$321*Założenia!$G73/1000000</f>
        <v>0</v>
      </c>
      <c r="T74" s="174">
        <f>Założenia!S306*Założenia!S$321*Założenia!$G73/1000000</f>
        <v>0</v>
      </c>
      <c r="U74" s="13"/>
    </row>
    <row r="75" spans="1:21" s="32" customFormat="1" ht="12">
      <c r="A75" s="96"/>
      <c r="B75" s="109" t="s">
        <v>427</v>
      </c>
      <c r="C75" s="214" t="s">
        <v>219</v>
      </c>
      <c r="D75" s="214"/>
      <c r="E75" s="174">
        <f>Założenia!D307*Założenia!D$321*Założenia!$G74/1000000</f>
        <v>0</v>
      </c>
      <c r="F75" s="174">
        <f>Założenia!E307*Założenia!E$321*Założenia!$G74/1000000</f>
        <v>0</v>
      </c>
      <c r="G75" s="174">
        <f>Założenia!F307*Założenia!F$321*Założenia!$G74/1000000</f>
        <v>0</v>
      </c>
      <c r="H75" s="174">
        <f>Założenia!G307*Założenia!G$321*Założenia!$G74/1000000</f>
        <v>0</v>
      </c>
      <c r="I75" s="174">
        <f>Założenia!H307*Założenia!H$321*Założenia!$G74/1000000</f>
        <v>0</v>
      </c>
      <c r="J75" s="174">
        <f>Założenia!I307*Założenia!I$321*Założenia!$G74/1000000</f>
        <v>0</v>
      </c>
      <c r="K75" s="174">
        <f>Założenia!J307*Założenia!J$321*Założenia!$G74/1000000</f>
        <v>0</v>
      </c>
      <c r="L75" s="174">
        <f>Założenia!K307*Założenia!K$321*Założenia!$G74/1000000</f>
        <v>0</v>
      </c>
      <c r="M75" s="174">
        <f>Założenia!L307*Założenia!L$321*Założenia!$G74/1000000</f>
        <v>0</v>
      </c>
      <c r="N75" s="174">
        <f>Założenia!M307*Założenia!M$321*Założenia!$G74/1000000</f>
        <v>0</v>
      </c>
      <c r="O75" s="174">
        <f>Założenia!N307*Założenia!N$321*Założenia!$G74/1000000</f>
        <v>0</v>
      </c>
      <c r="P75" s="174">
        <f>Założenia!O307*Założenia!O$321*Założenia!$G74/1000000</f>
        <v>0</v>
      </c>
      <c r="Q75" s="174">
        <f>Założenia!P307*Założenia!P$321*Założenia!$G74/1000000</f>
        <v>0</v>
      </c>
      <c r="R75" s="174">
        <f>Założenia!Q307*Założenia!Q$321*Założenia!$G74/1000000</f>
        <v>0</v>
      </c>
      <c r="S75" s="174">
        <f>Założenia!R307*Założenia!R$321*Założenia!$G74/1000000</f>
        <v>0</v>
      </c>
      <c r="T75" s="174">
        <f>Założenia!S307*Założenia!S$321*Założenia!$G74/1000000</f>
        <v>0</v>
      </c>
      <c r="U75" s="13"/>
    </row>
    <row r="76" spans="1:21" s="32" customFormat="1" ht="12">
      <c r="A76" s="96"/>
      <c r="B76" s="109" t="s">
        <v>428</v>
      </c>
      <c r="C76" s="214" t="s">
        <v>219</v>
      </c>
      <c r="D76" s="214"/>
      <c r="E76" s="174">
        <f>Założenia!D308*Założenia!D$321*Założenia!$G75/1000000</f>
        <v>0</v>
      </c>
      <c r="F76" s="174">
        <f>Założenia!E308*Założenia!E$321*Założenia!$G75/1000000</f>
        <v>0</v>
      </c>
      <c r="G76" s="174">
        <f>Założenia!F308*Założenia!F$321*Założenia!$G75/1000000</f>
        <v>0</v>
      </c>
      <c r="H76" s="174">
        <f>Założenia!G308*Założenia!G$321*Założenia!$G75/1000000</f>
        <v>0</v>
      </c>
      <c r="I76" s="174">
        <f>Założenia!H308*Założenia!H$321*Założenia!$G75/1000000</f>
        <v>0</v>
      </c>
      <c r="J76" s="174">
        <f>Założenia!I308*Założenia!I$321*Założenia!$G75/1000000</f>
        <v>0</v>
      </c>
      <c r="K76" s="174">
        <f>Założenia!J308*Założenia!J$321*Założenia!$G75/1000000</f>
        <v>0</v>
      </c>
      <c r="L76" s="174">
        <f>Założenia!K308*Założenia!K$321*Założenia!$G75/1000000</f>
        <v>0</v>
      </c>
      <c r="M76" s="174">
        <f>Założenia!L308*Założenia!L$321*Założenia!$G75/1000000</f>
        <v>0</v>
      </c>
      <c r="N76" s="174">
        <f>Założenia!M308*Założenia!M$321*Założenia!$G75/1000000</f>
        <v>0</v>
      </c>
      <c r="O76" s="174">
        <f>Założenia!N308*Założenia!N$321*Założenia!$G75/1000000</f>
        <v>0</v>
      </c>
      <c r="P76" s="174">
        <f>Założenia!O308*Założenia!O$321*Założenia!$G75/1000000</f>
        <v>0</v>
      </c>
      <c r="Q76" s="174">
        <f>Założenia!P308*Założenia!P$321*Założenia!$G75/1000000</f>
        <v>0</v>
      </c>
      <c r="R76" s="174">
        <f>Założenia!Q308*Założenia!Q$321*Założenia!$G75/1000000</f>
        <v>0</v>
      </c>
      <c r="S76" s="174">
        <f>Założenia!R308*Założenia!R$321*Założenia!$G75/1000000</f>
        <v>0</v>
      </c>
      <c r="T76" s="174">
        <f>Założenia!S308*Założenia!S$321*Założenia!$G75/1000000</f>
        <v>0</v>
      </c>
      <c r="U76" s="13"/>
    </row>
    <row r="77" spans="1:21" s="32" customFormat="1" ht="12">
      <c r="A77" s="96"/>
      <c r="B77" s="109" t="s">
        <v>429</v>
      </c>
      <c r="C77" s="214" t="s">
        <v>219</v>
      </c>
      <c r="D77" s="214"/>
      <c r="E77" s="174">
        <f>Założenia!D309*Założenia!D$321*Założenia!$G76/1000000</f>
        <v>0</v>
      </c>
      <c r="F77" s="174">
        <f>Założenia!E309*Założenia!E$321*Założenia!$G76/1000000</f>
        <v>0</v>
      </c>
      <c r="G77" s="174">
        <f>Założenia!F309*Założenia!F$321*Założenia!$G76/1000000</f>
        <v>0</v>
      </c>
      <c r="H77" s="174">
        <f>Założenia!G309*Założenia!G$321*Założenia!$G76/1000000</f>
        <v>0</v>
      </c>
      <c r="I77" s="174">
        <f>Założenia!H309*Założenia!H$321*Założenia!$G76/1000000</f>
        <v>0</v>
      </c>
      <c r="J77" s="174">
        <f>Założenia!I309*Założenia!I$321*Założenia!$G76/1000000</f>
        <v>0</v>
      </c>
      <c r="K77" s="174">
        <f>Założenia!J309*Założenia!J$321*Założenia!$G76/1000000</f>
        <v>0</v>
      </c>
      <c r="L77" s="174">
        <f>Założenia!K309*Założenia!K$321*Założenia!$G76/1000000</f>
        <v>0</v>
      </c>
      <c r="M77" s="174">
        <f>Założenia!L309*Założenia!L$321*Założenia!$G76/1000000</f>
        <v>0</v>
      </c>
      <c r="N77" s="174">
        <f>Założenia!M309*Założenia!M$321*Założenia!$G76/1000000</f>
        <v>0</v>
      </c>
      <c r="O77" s="174">
        <f>Założenia!N309*Założenia!N$321*Założenia!$G76/1000000</f>
        <v>0</v>
      </c>
      <c r="P77" s="174">
        <f>Założenia!O309*Założenia!O$321*Założenia!$G76/1000000</f>
        <v>0</v>
      </c>
      <c r="Q77" s="174">
        <f>Założenia!P309*Założenia!P$321*Założenia!$G76/1000000</f>
        <v>0</v>
      </c>
      <c r="R77" s="174">
        <f>Założenia!Q309*Założenia!Q$321*Założenia!$G76/1000000</f>
        <v>0</v>
      </c>
      <c r="S77" s="174">
        <f>Założenia!R309*Założenia!R$321*Założenia!$G76/1000000</f>
        <v>0</v>
      </c>
      <c r="T77" s="174">
        <f>Założenia!S309*Założenia!S$321*Założenia!$G76/1000000</f>
        <v>0</v>
      </c>
      <c r="U77" s="13"/>
    </row>
    <row r="78" spans="1:21" s="32" customFormat="1" ht="12">
      <c r="A78" s="96"/>
      <c r="B78" s="109" t="s">
        <v>430</v>
      </c>
      <c r="C78" s="214" t="s">
        <v>219</v>
      </c>
      <c r="D78" s="214"/>
      <c r="E78" s="174">
        <f>Założenia!D310*Założenia!D$321*Założenia!$G77/1000000+Założenia!D302*Założenia!D320*Założenia!$G68/1000000</f>
        <v>4.4564000000000006E-2</v>
      </c>
      <c r="F78" s="174">
        <f>Założenia!E310*Założenia!E$321*Założenia!$G77/1000000+Założenia!E302*Założenia!E320*Założenia!$G68/1000000</f>
        <v>4.4600826677796329E-2</v>
      </c>
      <c r="G78" s="174">
        <f>Założenia!F310*Założenia!F$321*Założenia!$G77/1000000+Założenia!F302*Założenia!F320*Założenia!$G68/1000000</f>
        <v>4.4600826677796329E-2</v>
      </c>
      <c r="H78" s="174">
        <f>Założenia!G310*Założenia!G$321*Założenia!$G77/1000000+Założenia!G302*Założenia!G320*Założenia!$G68/1000000</f>
        <v>4.4600826677796329E-2</v>
      </c>
      <c r="I78" s="174">
        <f>Założenia!H310*Założenia!H$321*Założenia!$G77/1000000+Założenia!H302*Założenia!H320*Założenia!$G68/1000000</f>
        <v>4.4600826677796329E-2</v>
      </c>
      <c r="J78" s="174">
        <f>Założenia!I310*Założenia!I$321*Założenia!$G77/1000000+Założenia!I302*Założenia!I320*Założenia!$G68/1000000</f>
        <v>4.4600826677796329E-2</v>
      </c>
      <c r="K78" s="174">
        <f>Założenia!J310*Założenia!J$321*Założenia!$G77/1000000+Założenia!J302*Założenia!J320*Założenia!$G68/1000000</f>
        <v>4.4600826677796329E-2</v>
      </c>
      <c r="L78" s="174">
        <f>Założenia!K310*Założenia!K$321*Założenia!$G77/1000000+Założenia!K302*Założenia!K320*Założenia!$G68/1000000</f>
        <v>3.0485146974587277E-2</v>
      </c>
      <c r="M78" s="174">
        <f>Założenia!L310*Założenia!L$321*Założenia!$G77/1000000+Założenia!L302*Założenia!L320*Założenia!$G68/1000000</f>
        <v>3.0485146974587277E-2</v>
      </c>
      <c r="N78" s="174">
        <f>Założenia!M310*Założenia!M$321*Założenia!$G77/1000000+Założenia!M302*Założenia!M320*Założenia!$G68/1000000</f>
        <v>3.0485146974587277E-2</v>
      </c>
      <c r="O78" s="174">
        <f>Założenia!N310*Założenia!N$321*Założenia!$G77/1000000+Założenia!N302*Założenia!N320*Założenia!$G68/1000000</f>
        <v>3.0485146974587277E-2</v>
      </c>
      <c r="P78" s="174">
        <f>Założenia!O310*Założenia!O$321*Założenia!$G77/1000000+Założenia!O302*Założenia!O320*Założenia!$G68/1000000</f>
        <v>3.0485146974587277E-2</v>
      </c>
      <c r="Q78" s="174">
        <f>Założenia!P310*Założenia!P$321*Założenia!$G77/1000000+Założenia!P302*Założenia!P320*Założenia!$G68/1000000</f>
        <v>3.0485146974587277E-2</v>
      </c>
      <c r="R78" s="174">
        <f>Założenia!Q310*Założenia!Q$321*Założenia!$G77/1000000+Założenia!Q302*Założenia!Q320*Założenia!$G68/1000000</f>
        <v>3.0485146974587277E-2</v>
      </c>
      <c r="S78" s="174">
        <f>Założenia!R310*Założenia!R$321*Założenia!$G77/1000000+Założenia!R302*Założenia!R320*Założenia!$G68/1000000</f>
        <v>3.0485146974587277E-2</v>
      </c>
      <c r="T78" s="174">
        <f>Założenia!S310*Założenia!S$321*Założenia!$G77/1000000+Założenia!S302*Założenia!S320*Założenia!$G68/1000000</f>
        <v>3.0485146974587277E-2</v>
      </c>
      <c r="U78" s="13"/>
    </row>
    <row r="79" spans="1:21" s="1" customFormat="1" ht="12">
      <c r="A79" s="96"/>
      <c r="B79" s="109" t="s">
        <v>431</v>
      </c>
      <c r="C79" s="214" t="s">
        <v>219</v>
      </c>
      <c r="D79" s="300"/>
      <c r="E79" s="174">
        <f>Założenia!D311*Założenia!D$322*Założenia!$J77/1000000</f>
        <v>0</v>
      </c>
      <c r="F79" s="174">
        <f>Założenia!E311*Założenia!E$322*Założenia!$J77/1000000</f>
        <v>0</v>
      </c>
      <c r="G79" s="174">
        <f>Założenia!F311*Założenia!F$322*Założenia!$J77/1000000</f>
        <v>0</v>
      </c>
      <c r="H79" s="174">
        <f>Założenia!G311*Założenia!G$322*Założenia!$J77/1000000</f>
        <v>0</v>
      </c>
      <c r="I79" s="174">
        <f>Założenia!H311*Założenia!H$322*Założenia!$J77/1000000</f>
        <v>0</v>
      </c>
      <c r="J79" s="174">
        <f>Założenia!I311*Założenia!I$322*Założenia!$J77/1000000</f>
        <v>0</v>
      </c>
      <c r="K79" s="174">
        <f>Założenia!J311*Założenia!J$322*Założenia!$J77/1000000</f>
        <v>0</v>
      </c>
      <c r="L79" s="174">
        <f>Założenia!K311*Założenia!K$322*Założenia!$J77/1000000</f>
        <v>0</v>
      </c>
      <c r="M79" s="174">
        <f>Założenia!L311*Założenia!L$322*Założenia!$J77/1000000</f>
        <v>0</v>
      </c>
      <c r="N79" s="174">
        <f>Założenia!M311*Założenia!M$322*Założenia!$J77/1000000</f>
        <v>0</v>
      </c>
      <c r="O79" s="174">
        <f>Założenia!N311*Założenia!N$322*Założenia!$J77/1000000</f>
        <v>0</v>
      </c>
      <c r="P79" s="174">
        <f>Założenia!O311*Założenia!O$322*Założenia!$J77/1000000</f>
        <v>0</v>
      </c>
      <c r="Q79" s="174">
        <f>Założenia!P311*Założenia!P$322*Założenia!$J77/1000000</f>
        <v>0</v>
      </c>
      <c r="R79" s="174">
        <f>Założenia!Q311*Założenia!Q$322*Założenia!$J77/1000000</f>
        <v>0</v>
      </c>
      <c r="S79" s="174">
        <f>Założenia!R311*Założenia!R$322*Założenia!$J77/1000000</f>
        <v>0</v>
      </c>
      <c r="T79" s="174">
        <f>Założenia!S311*Założenia!S$322*Założenia!$J77/1000000</f>
        <v>0</v>
      </c>
    </row>
    <row r="80" spans="1:21" s="1" customFormat="1" ht="12">
      <c r="A80" s="96"/>
      <c r="B80" s="110" t="s">
        <v>229</v>
      </c>
      <c r="C80" s="214" t="s">
        <v>219</v>
      </c>
      <c r="D80" s="300"/>
      <c r="E80" s="174">
        <f>Założenia!D312*Założenia!D$323*Założenia!$E$184*Założenia!$E$123*Założenia!E93/1000000</f>
        <v>0</v>
      </c>
      <c r="F80" s="174">
        <f>Założenia!E312*Założenia!E$323*Założenia!$E$184*Założenia!$E$123*Założenia!F93/1000000</f>
        <v>0</v>
      </c>
      <c r="G80" s="174">
        <f>Założenia!F312*Założenia!F$323*Założenia!$E$184*Założenia!$E$123*Założenia!G93/1000000</f>
        <v>0</v>
      </c>
      <c r="H80" s="174">
        <f>Założenia!G312*Założenia!G$323*Założenia!$E$184*Założenia!$E$123*Założenia!H93/1000000</f>
        <v>0</v>
      </c>
      <c r="I80" s="174">
        <f>Założenia!H312*Założenia!H$323*Założenia!$E$184*Założenia!$E$123*Założenia!I93/1000000</f>
        <v>0</v>
      </c>
      <c r="J80" s="174">
        <f>Założenia!I312*Założenia!I$323*Założenia!$E$184*Założenia!$E$123*Założenia!J93/1000000</f>
        <v>0</v>
      </c>
      <c r="K80" s="174">
        <f>Założenia!J312*Założenia!J$323*Założenia!$E$184*Założenia!$E$123*Założenia!K93/1000000</f>
        <v>0</v>
      </c>
      <c r="L80" s="174">
        <f>Założenia!K312*Założenia!K$323*Założenia!$E$184*Założenia!$E$123*Założenia!L93/1000000</f>
        <v>1.86825810337252E-2</v>
      </c>
      <c r="M80" s="174">
        <f>Założenia!L312*Założenia!L$323*Założenia!$E$184*Założenia!$E$123*Założenia!M93/1000000</f>
        <v>1.8390739253908883E-2</v>
      </c>
      <c r="N80" s="174">
        <f>Założenia!M312*Założenia!M$323*Założenia!$E$184*Założenia!$E$123*Założenia!N93/1000000</f>
        <v>1.809889747409257E-2</v>
      </c>
      <c r="O80" s="174">
        <f>Założenia!N312*Założenia!N$323*Założenia!$E$184*Założenia!$E$123*Założenia!O93/1000000</f>
        <v>1.7199836507239077E-2</v>
      </c>
      <c r="P80" s="174">
        <f>Założenia!O312*Założenia!O$323*Założenia!$E$184*Założenia!$E$123*Założenia!P93/1000000</f>
        <v>1.6300775540385583E-2</v>
      </c>
      <c r="Q80" s="174">
        <f>Założenia!P312*Założenia!P$323*Założenia!$E$184*Założenia!$E$123*Założenia!Q93/1000000</f>
        <v>1.540171457353209E-2</v>
      </c>
      <c r="R80" s="174">
        <f>Założenia!Q312*Założenia!Q$323*Założenia!$E$184*Założenia!$E$123*Założenia!R93/1000000</f>
        <v>1.4502653606678597E-2</v>
      </c>
      <c r="S80" s="174">
        <f>Założenia!R312*Założenia!R$323*Założenia!$E$184*Założenia!$E$123*Założenia!S93/1000000</f>
        <v>1.3603592639825104E-2</v>
      </c>
      <c r="T80" s="174">
        <f>Założenia!S312*Założenia!S$323*Założenia!$E$184*Założenia!$E$123*Założenia!T93/1000000</f>
        <v>1.2532721592918454E-2</v>
      </c>
    </row>
    <row r="81" spans="1:21" s="26" customFormat="1">
      <c r="A81" s="96" t="s">
        <v>61</v>
      </c>
      <c r="B81" s="112" t="s">
        <v>186</v>
      </c>
      <c r="C81" s="214" t="s">
        <v>246</v>
      </c>
      <c r="D81" s="214"/>
      <c r="E81" s="194">
        <f>E82+E90</f>
        <v>0.57933199999999996</v>
      </c>
      <c r="F81" s="194">
        <f t="shared" ref="F81:T81" si="30">F82+F90</f>
        <v>0.57981074681135236</v>
      </c>
      <c r="G81" s="194">
        <f t="shared" si="30"/>
        <v>0.57981074681135236</v>
      </c>
      <c r="H81" s="194">
        <f t="shared" si="30"/>
        <v>0.57981074681135236</v>
      </c>
      <c r="I81" s="194">
        <f t="shared" si="30"/>
        <v>0.57981074681135236</v>
      </c>
      <c r="J81" s="194">
        <f t="shared" si="30"/>
        <v>0.57981074681135236</v>
      </c>
      <c r="K81" s="194">
        <f t="shared" si="30"/>
        <v>0.57981074681135236</v>
      </c>
      <c r="L81" s="194">
        <f t="shared" si="30"/>
        <v>0.39996617414854918</v>
      </c>
      <c r="M81" s="194">
        <f t="shared" si="30"/>
        <v>0.39990732327123174</v>
      </c>
      <c r="N81" s="194">
        <f t="shared" si="30"/>
        <v>0.39984847239391436</v>
      </c>
      <c r="O81" s="194">
        <f t="shared" si="30"/>
        <v>0.39967402157900916</v>
      </c>
      <c r="P81" s="194">
        <f t="shared" si="30"/>
        <v>0.39949957076410403</v>
      </c>
      <c r="Q81" s="194">
        <f t="shared" si="30"/>
        <v>0.39932511994919884</v>
      </c>
      <c r="R81" s="194">
        <f t="shared" si="30"/>
        <v>0.39915066913429365</v>
      </c>
      <c r="S81" s="194">
        <f t="shared" si="30"/>
        <v>0.39897621831938845</v>
      </c>
      <c r="T81" s="194">
        <f t="shared" si="30"/>
        <v>0.39876078207206583</v>
      </c>
      <c r="U81" s="13"/>
    </row>
    <row r="82" spans="1:21" s="26" customFormat="1">
      <c r="A82" s="96"/>
      <c r="B82" s="166" t="s">
        <v>343</v>
      </c>
      <c r="C82" s="214" t="s">
        <v>246</v>
      </c>
      <c r="D82" s="214"/>
      <c r="E82" s="194">
        <f>SUM(E83:E89)</f>
        <v>0.57933199999999996</v>
      </c>
      <c r="F82" s="194">
        <f t="shared" ref="F82" si="31">SUM(F83:F89)</f>
        <v>0.57981074681135236</v>
      </c>
      <c r="G82" s="194">
        <f t="shared" ref="G82" si="32">SUM(G83:G89)</f>
        <v>0.57981074681135236</v>
      </c>
      <c r="H82" s="194">
        <f t="shared" ref="H82" si="33">SUM(H83:H89)</f>
        <v>0.57981074681135236</v>
      </c>
      <c r="I82" s="194">
        <f t="shared" ref="I82" si="34">SUM(I83:I89)</f>
        <v>0.57981074681135236</v>
      </c>
      <c r="J82" s="194">
        <f t="shared" ref="J82" si="35">SUM(J83:J89)</f>
        <v>0.57981074681135236</v>
      </c>
      <c r="K82" s="194">
        <f t="shared" ref="K82" si="36">SUM(K83:K89)</f>
        <v>0.57981074681135236</v>
      </c>
      <c r="L82" s="194">
        <f t="shared" ref="L82" si="37">SUM(L83:L89)</f>
        <v>0.39630691066963458</v>
      </c>
      <c r="M82" s="194">
        <f t="shared" ref="M82" si="38">SUM(M83:M89)</f>
        <v>0.39630691066963458</v>
      </c>
      <c r="N82" s="194">
        <f t="shared" ref="N82" si="39">SUM(N83:N89)</f>
        <v>0.39630691066963458</v>
      </c>
      <c r="O82" s="194">
        <f t="shared" ref="O82" si="40">SUM(O83:O89)</f>
        <v>0.39630691066963458</v>
      </c>
      <c r="P82" s="194">
        <f t="shared" ref="P82" si="41">SUM(P83:P89)</f>
        <v>0.39630691066963458</v>
      </c>
      <c r="Q82" s="194">
        <f t="shared" ref="Q82" si="42">SUM(Q83:Q89)</f>
        <v>0.39630691066963458</v>
      </c>
      <c r="R82" s="194">
        <f t="shared" ref="R82" si="43">SUM(R83:R89)</f>
        <v>0.39630691066963458</v>
      </c>
      <c r="S82" s="194">
        <f t="shared" ref="S82" si="44">SUM(S83:S89)</f>
        <v>0.39630691066963458</v>
      </c>
      <c r="T82" s="194">
        <f t="shared" ref="T82" si="45">SUM(T83:T89)</f>
        <v>0.39630691066963458</v>
      </c>
      <c r="U82" s="13"/>
    </row>
    <row r="83" spans="1:21" s="26" customFormat="1">
      <c r="A83" s="96"/>
      <c r="B83" s="109" t="s">
        <v>426</v>
      </c>
      <c r="C83" s="214" t="s">
        <v>246</v>
      </c>
      <c r="D83" s="214"/>
      <c r="E83" s="174">
        <f>Założenia!D305*Założenia!D$321*Założenia!$E72/1000000</f>
        <v>0</v>
      </c>
      <c r="F83" s="174">
        <f>Założenia!E305*Założenia!E$321*Założenia!$E72/1000000</f>
        <v>0</v>
      </c>
      <c r="G83" s="174">
        <f>Założenia!F305*Założenia!F$321*Założenia!$E72/1000000</f>
        <v>0</v>
      </c>
      <c r="H83" s="174">
        <f>Założenia!G305*Założenia!G$321*Założenia!$E72/1000000</f>
        <v>0</v>
      </c>
      <c r="I83" s="174">
        <f>Założenia!H305*Założenia!H$321*Założenia!$E72/1000000</f>
        <v>0</v>
      </c>
      <c r="J83" s="174">
        <f>Założenia!I305*Założenia!I$321*Założenia!$E72/1000000</f>
        <v>0</v>
      </c>
      <c r="K83" s="174">
        <f>Założenia!J305*Założenia!J$321*Założenia!$E72/1000000</f>
        <v>0</v>
      </c>
      <c r="L83" s="174">
        <f>Założenia!K305*Założenia!K$321*Założenia!$E72/1000000</f>
        <v>0</v>
      </c>
      <c r="M83" s="174">
        <f>Założenia!L305*Założenia!L$321*Założenia!$E72/1000000</f>
        <v>0</v>
      </c>
      <c r="N83" s="174">
        <f>Założenia!M305*Założenia!M$321*Założenia!$E72/1000000</f>
        <v>0</v>
      </c>
      <c r="O83" s="174">
        <f>Założenia!N305*Założenia!N$321*Założenia!$E72/1000000</f>
        <v>0</v>
      </c>
      <c r="P83" s="174">
        <f>Założenia!O305*Założenia!O$321*Założenia!$E72/1000000</f>
        <v>0</v>
      </c>
      <c r="Q83" s="174">
        <f>Założenia!P305*Założenia!P$321*Założenia!$E72/1000000</f>
        <v>0</v>
      </c>
      <c r="R83" s="174">
        <f>Założenia!Q305*Założenia!Q$321*Założenia!$E72/1000000</f>
        <v>0</v>
      </c>
      <c r="S83" s="174">
        <f>Założenia!R305*Założenia!R$321*Założenia!$E72/1000000</f>
        <v>0</v>
      </c>
      <c r="T83" s="174">
        <f>Założenia!S305*Założenia!S$321*Założenia!$E72/1000000</f>
        <v>0</v>
      </c>
      <c r="U83" s="13"/>
    </row>
    <row r="84" spans="1:21" s="32" customFormat="1" ht="12">
      <c r="A84" s="96"/>
      <c r="B84" s="109" t="s">
        <v>432</v>
      </c>
      <c r="C84" s="214" t="s">
        <v>246</v>
      </c>
      <c r="D84" s="214"/>
      <c r="E84" s="174">
        <f>Założenia!D306*Założenia!D$321*Założenia!$E73/1000000</f>
        <v>0</v>
      </c>
      <c r="F84" s="174">
        <f>Założenia!E306*Założenia!E$321*Założenia!$E73/1000000</f>
        <v>0</v>
      </c>
      <c r="G84" s="174">
        <f>Założenia!F306*Założenia!F$321*Założenia!$E73/1000000</f>
        <v>0</v>
      </c>
      <c r="H84" s="174">
        <f>Założenia!G306*Założenia!G$321*Założenia!$E73/1000000</f>
        <v>0</v>
      </c>
      <c r="I84" s="174">
        <f>Założenia!H306*Założenia!H$321*Założenia!$E73/1000000</f>
        <v>0</v>
      </c>
      <c r="J84" s="174">
        <f>Założenia!I306*Założenia!I$321*Założenia!$E73/1000000</f>
        <v>0</v>
      </c>
      <c r="K84" s="174">
        <f>Założenia!J306*Założenia!J$321*Założenia!$E73/1000000</f>
        <v>0</v>
      </c>
      <c r="L84" s="174">
        <f>Założenia!K306*Założenia!K$321*Założenia!$E73/1000000</f>
        <v>0</v>
      </c>
      <c r="M84" s="174">
        <f>Założenia!L306*Założenia!L$321*Założenia!$E73/1000000</f>
        <v>0</v>
      </c>
      <c r="N84" s="174">
        <f>Założenia!M306*Założenia!M$321*Założenia!$E73/1000000</f>
        <v>0</v>
      </c>
      <c r="O84" s="174">
        <f>Założenia!N306*Założenia!N$321*Założenia!$E73/1000000</f>
        <v>0</v>
      </c>
      <c r="P84" s="174">
        <f>Założenia!O306*Założenia!O$321*Założenia!$E73/1000000</f>
        <v>0</v>
      </c>
      <c r="Q84" s="174">
        <f>Założenia!P306*Założenia!P$321*Założenia!$E73/1000000</f>
        <v>0</v>
      </c>
      <c r="R84" s="174">
        <f>Założenia!Q306*Założenia!Q$321*Założenia!$E73/1000000</f>
        <v>0</v>
      </c>
      <c r="S84" s="174">
        <f>Założenia!R306*Założenia!R$321*Założenia!$E73/1000000</f>
        <v>0</v>
      </c>
      <c r="T84" s="174">
        <f>Założenia!S306*Założenia!S$321*Założenia!$E73/1000000</f>
        <v>0</v>
      </c>
      <c r="U84" s="13"/>
    </row>
    <row r="85" spans="1:21" s="32" customFormat="1" ht="12">
      <c r="A85" s="96"/>
      <c r="B85" s="109" t="s">
        <v>427</v>
      </c>
      <c r="C85" s="214" t="s">
        <v>246</v>
      </c>
      <c r="D85" s="214"/>
      <c r="E85" s="174">
        <f>Założenia!D307*Założenia!D$321*Założenia!$E74/1000000</f>
        <v>0</v>
      </c>
      <c r="F85" s="174">
        <f>Założenia!E307*Założenia!E$321*Założenia!$E74/1000000</f>
        <v>0</v>
      </c>
      <c r="G85" s="174">
        <f>Założenia!F307*Założenia!F$321*Założenia!$E74/1000000</f>
        <v>0</v>
      </c>
      <c r="H85" s="174">
        <f>Założenia!G307*Założenia!G$321*Założenia!$E74/1000000</f>
        <v>0</v>
      </c>
      <c r="I85" s="174">
        <f>Założenia!H307*Założenia!H$321*Założenia!$E74/1000000</f>
        <v>0</v>
      </c>
      <c r="J85" s="174">
        <f>Założenia!I307*Założenia!I$321*Założenia!$E74/1000000</f>
        <v>0</v>
      </c>
      <c r="K85" s="174">
        <f>Założenia!J307*Założenia!J$321*Założenia!$E74/1000000</f>
        <v>0</v>
      </c>
      <c r="L85" s="174">
        <f>Założenia!K307*Założenia!K$321*Założenia!$E74/1000000</f>
        <v>0</v>
      </c>
      <c r="M85" s="174">
        <f>Założenia!L307*Założenia!L$321*Założenia!$E74/1000000</f>
        <v>0</v>
      </c>
      <c r="N85" s="174">
        <f>Założenia!M307*Założenia!M$321*Założenia!$E74/1000000</f>
        <v>0</v>
      </c>
      <c r="O85" s="174">
        <f>Założenia!N307*Założenia!N$321*Założenia!$E74/1000000</f>
        <v>0</v>
      </c>
      <c r="P85" s="174">
        <f>Założenia!O307*Założenia!O$321*Założenia!$E74/1000000</f>
        <v>0</v>
      </c>
      <c r="Q85" s="174">
        <f>Założenia!P307*Założenia!P$321*Założenia!$E74/1000000</f>
        <v>0</v>
      </c>
      <c r="R85" s="174">
        <f>Założenia!Q307*Założenia!Q$321*Założenia!$E74/1000000</f>
        <v>0</v>
      </c>
      <c r="S85" s="174">
        <f>Założenia!R307*Założenia!R$321*Założenia!$E74/1000000</f>
        <v>0</v>
      </c>
      <c r="T85" s="174">
        <f>Założenia!S307*Założenia!S$321*Założenia!$E74/1000000</f>
        <v>0</v>
      </c>
      <c r="U85" s="13"/>
    </row>
    <row r="86" spans="1:21" s="32" customFormat="1" ht="12">
      <c r="A86" s="96"/>
      <c r="B86" s="109" t="s">
        <v>428</v>
      </c>
      <c r="C86" s="214" t="s">
        <v>246</v>
      </c>
      <c r="D86" s="214"/>
      <c r="E86" s="174">
        <f>Założenia!D308*Założenia!D$321*Założenia!$E75/1000000</f>
        <v>0</v>
      </c>
      <c r="F86" s="174">
        <f>Założenia!E308*Założenia!E$321*Założenia!$E75/1000000</f>
        <v>0</v>
      </c>
      <c r="G86" s="174">
        <f>Założenia!F308*Założenia!F$321*Założenia!$E75/1000000</f>
        <v>0</v>
      </c>
      <c r="H86" s="174">
        <f>Założenia!G308*Założenia!G$321*Założenia!$E75/1000000</f>
        <v>0</v>
      </c>
      <c r="I86" s="174">
        <f>Założenia!H308*Założenia!H$321*Założenia!$E75/1000000</f>
        <v>0</v>
      </c>
      <c r="J86" s="174">
        <f>Założenia!I308*Założenia!I$321*Założenia!$E75/1000000</f>
        <v>0</v>
      </c>
      <c r="K86" s="174">
        <f>Założenia!J308*Założenia!J$321*Założenia!$E75/1000000</f>
        <v>0</v>
      </c>
      <c r="L86" s="174">
        <f>Założenia!K308*Założenia!K$321*Założenia!$E75/1000000</f>
        <v>0</v>
      </c>
      <c r="M86" s="174">
        <f>Założenia!L308*Założenia!L$321*Założenia!$E75/1000000</f>
        <v>0</v>
      </c>
      <c r="N86" s="174">
        <f>Założenia!M308*Założenia!M$321*Założenia!$E75/1000000</f>
        <v>0</v>
      </c>
      <c r="O86" s="174">
        <f>Założenia!N308*Założenia!N$321*Założenia!$E75/1000000</f>
        <v>0</v>
      </c>
      <c r="P86" s="174">
        <f>Założenia!O308*Założenia!O$321*Założenia!$E75/1000000</f>
        <v>0</v>
      </c>
      <c r="Q86" s="174">
        <f>Założenia!P308*Założenia!P$321*Założenia!$E75/1000000</f>
        <v>0</v>
      </c>
      <c r="R86" s="174">
        <f>Założenia!Q308*Założenia!Q$321*Założenia!$E75/1000000</f>
        <v>0</v>
      </c>
      <c r="S86" s="174">
        <f>Założenia!R308*Założenia!R$321*Założenia!$E75/1000000</f>
        <v>0</v>
      </c>
      <c r="T86" s="174">
        <f>Założenia!S308*Założenia!S$321*Założenia!$E75/1000000</f>
        <v>0</v>
      </c>
      <c r="U86" s="13"/>
    </row>
    <row r="87" spans="1:21" s="32" customFormat="1" ht="12">
      <c r="A87" s="96"/>
      <c r="B87" s="109" t="s">
        <v>429</v>
      </c>
      <c r="C87" s="214" t="s">
        <v>246</v>
      </c>
      <c r="D87" s="214"/>
      <c r="E87" s="174">
        <f>Założenia!D309*Założenia!D$321*Założenia!$E76/1000000</f>
        <v>0</v>
      </c>
      <c r="F87" s="174">
        <f>Założenia!E309*Założenia!E$321*Założenia!$E76/1000000</f>
        <v>0</v>
      </c>
      <c r="G87" s="174">
        <f>Założenia!F309*Założenia!F$321*Założenia!$E76/1000000</f>
        <v>0</v>
      </c>
      <c r="H87" s="174">
        <f>Założenia!G309*Założenia!G$321*Założenia!$E76/1000000</f>
        <v>0</v>
      </c>
      <c r="I87" s="174">
        <f>Założenia!H309*Założenia!H$321*Założenia!$E76/1000000</f>
        <v>0</v>
      </c>
      <c r="J87" s="174">
        <f>Założenia!I309*Założenia!I$321*Założenia!$E76/1000000</f>
        <v>0</v>
      </c>
      <c r="K87" s="174">
        <f>Założenia!J309*Założenia!J$321*Założenia!$E76/1000000</f>
        <v>0</v>
      </c>
      <c r="L87" s="174">
        <f>Założenia!K309*Założenia!K$321*Założenia!$E76/1000000</f>
        <v>0</v>
      </c>
      <c r="M87" s="174">
        <f>Założenia!L309*Założenia!L$321*Założenia!$E76/1000000</f>
        <v>0</v>
      </c>
      <c r="N87" s="174">
        <f>Założenia!M309*Założenia!M$321*Założenia!$E76/1000000</f>
        <v>0</v>
      </c>
      <c r="O87" s="174">
        <f>Założenia!N309*Założenia!N$321*Założenia!$E76/1000000</f>
        <v>0</v>
      </c>
      <c r="P87" s="174">
        <f>Założenia!O309*Założenia!O$321*Założenia!$E76/1000000</f>
        <v>0</v>
      </c>
      <c r="Q87" s="174">
        <f>Założenia!P309*Założenia!P$321*Założenia!$E76/1000000</f>
        <v>0</v>
      </c>
      <c r="R87" s="174">
        <f>Założenia!Q309*Założenia!Q$321*Założenia!$E76/1000000</f>
        <v>0</v>
      </c>
      <c r="S87" s="174">
        <f>Założenia!R309*Założenia!R$321*Założenia!$E76/1000000</f>
        <v>0</v>
      </c>
      <c r="T87" s="174">
        <f>Założenia!S309*Założenia!S$321*Założenia!$E76/1000000</f>
        <v>0</v>
      </c>
      <c r="U87" s="13"/>
    </row>
    <row r="88" spans="1:21" s="32" customFormat="1" ht="12">
      <c r="A88" s="96"/>
      <c r="B88" s="109" t="s">
        <v>430</v>
      </c>
      <c r="C88" s="214" t="s">
        <v>246</v>
      </c>
      <c r="D88" s="214"/>
      <c r="E88" s="174">
        <f>Założenia!D310*Założenia!D$321*Założenia!$E77/1000000+Założenia!D302*Założenia!D320*Założenia!$E68/1000000</f>
        <v>0.57933199999999996</v>
      </c>
      <c r="F88" s="174">
        <f>Założenia!E310*Założenia!E$321*Założenia!$E77/1000000+Założenia!E302*Założenia!E320*Założenia!$E68/1000000</f>
        <v>0.57981074681135236</v>
      </c>
      <c r="G88" s="174">
        <f>Założenia!F310*Założenia!F$321*Założenia!$E77/1000000+Założenia!F302*Założenia!F320*Założenia!$E68/1000000</f>
        <v>0.57981074681135236</v>
      </c>
      <c r="H88" s="174">
        <f>Założenia!G310*Założenia!G$321*Założenia!$E77/1000000+Założenia!G302*Założenia!G320*Założenia!$E68/1000000</f>
        <v>0.57981074681135236</v>
      </c>
      <c r="I88" s="174">
        <f>Założenia!H310*Założenia!H$321*Założenia!$E77/1000000+Założenia!H302*Założenia!H320*Założenia!$E68/1000000</f>
        <v>0.57981074681135236</v>
      </c>
      <c r="J88" s="174">
        <f>Założenia!I310*Założenia!I$321*Założenia!$E77/1000000+Założenia!I302*Założenia!I320*Założenia!$E68/1000000</f>
        <v>0.57981074681135236</v>
      </c>
      <c r="K88" s="174">
        <f>Założenia!J310*Założenia!J$321*Założenia!$E77/1000000+Założenia!J302*Założenia!J320*Założenia!$E68/1000000</f>
        <v>0.57981074681135236</v>
      </c>
      <c r="L88" s="174">
        <f>Założenia!K310*Założenia!K$321*Założenia!$E77/1000000+Założenia!K302*Założenia!K320*Założenia!$E68/1000000</f>
        <v>0.39630691066963458</v>
      </c>
      <c r="M88" s="174">
        <f>Założenia!L310*Założenia!L$321*Założenia!$E77/1000000+Założenia!L302*Założenia!L320*Założenia!$E68/1000000</f>
        <v>0.39630691066963458</v>
      </c>
      <c r="N88" s="174">
        <f>Założenia!M310*Założenia!M$321*Założenia!$E77/1000000+Założenia!M302*Założenia!M320*Założenia!$E68/1000000</f>
        <v>0.39630691066963458</v>
      </c>
      <c r="O88" s="174">
        <f>Założenia!N310*Założenia!N$321*Założenia!$E77/1000000+Założenia!N302*Założenia!N320*Założenia!$E68/1000000</f>
        <v>0.39630691066963458</v>
      </c>
      <c r="P88" s="174">
        <f>Założenia!O310*Założenia!O$321*Założenia!$E77/1000000+Założenia!O302*Założenia!O320*Założenia!$E68/1000000</f>
        <v>0.39630691066963458</v>
      </c>
      <c r="Q88" s="174">
        <f>Założenia!P310*Założenia!P$321*Założenia!$E77/1000000+Założenia!P302*Założenia!P320*Założenia!$E68/1000000</f>
        <v>0.39630691066963458</v>
      </c>
      <c r="R88" s="174">
        <f>Założenia!Q310*Założenia!Q$321*Założenia!$E77/1000000+Założenia!Q302*Założenia!Q320*Założenia!$E68/1000000</f>
        <v>0.39630691066963458</v>
      </c>
      <c r="S88" s="174">
        <f>Założenia!R310*Założenia!R$321*Założenia!$E77/1000000+Założenia!R302*Założenia!R320*Założenia!$E68/1000000</f>
        <v>0.39630691066963458</v>
      </c>
      <c r="T88" s="174">
        <f>Założenia!S310*Założenia!S$321*Założenia!$E77/1000000+Założenia!S302*Założenia!S320*Założenia!$E68/1000000</f>
        <v>0.39630691066963458</v>
      </c>
      <c r="U88" s="13"/>
    </row>
    <row r="89" spans="1:21" s="1" customFormat="1" ht="12">
      <c r="A89" s="96"/>
      <c r="B89" s="109" t="s">
        <v>431</v>
      </c>
      <c r="C89" s="214" t="s">
        <v>246</v>
      </c>
      <c r="D89" s="300"/>
      <c r="E89" s="174">
        <f>Założenia!D311*Założenia!D$322*Założenia!$H77/1000000</f>
        <v>0</v>
      </c>
      <c r="F89" s="174">
        <f>Założenia!E311*Założenia!E$322*Założenia!$H77/1000000</f>
        <v>0</v>
      </c>
      <c r="G89" s="174">
        <f>Założenia!F311*Założenia!F$322*Założenia!$H77/1000000</f>
        <v>0</v>
      </c>
      <c r="H89" s="174">
        <f>Założenia!G311*Założenia!G$322*Założenia!$H77/1000000</f>
        <v>0</v>
      </c>
      <c r="I89" s="174">
        <f>Założenia!H311*Założenia!H$322*Założenia!$H77/1000000</f>
        <v>0</v>
      </c>
      <c r="J89" s="174">
        <f>Założenia!I311*Założenia!I$322*Założenia!$H77/1000000</f>
        <v>0</v>
      </c>
      <c r="K89" s="174">
        <f>Założenia!J311*Założenia!J$322*Założenia!$H77/1000000</f>
        <v>0</v>
      </c>
      <c r="L89" s="174">
        <f>Założenia!K311*Założenia!K$322*Założenia!$H77/1000000</f>
        <v>0</v>
      </c>
      <c r="M89" s="174">
        <f>Założenia!L311*Założenia!L$322*Założenia!$H77/1000000</f>
        <v>0</v>
      </c>
      <c r="N89" s="174">
        <f>Założenia!M311*Założenia!M$322*Założenia!$H77/1000000</f>
        <v>0</v>
      </c>
      <c r="O89" s="174">
        <f>Założenia!N311*Założenia!N$322*Założenia!$H77/1000000</f>
        <v>0</v>
      </c>
      <c r="P89" s="174">
        <f>Założenia!O311*Założenia!O$322*Założenia!$H77/1000000</f>
        <v>0</v>
      </c>
      <c r="Q89" s="174">
        <f>Założenia!P311*Założenia!P$322*Założenia!$H77/1000000</f>
        <v>0</v>
      </c>
      <c r="R89" s="174">
        <f>Założenia!Q311*Założenia!Q$322*Założenia!$H77/1000000</f>
        <v>0</v>
      </c>
      <c r="S89" s="174">
        <f>Założenia!R311*Założenia!R$322*Założenia!$H77/1000000</f>
        <v>0</v>
      </c>
      <c r="T89" s="174">
        <f>Założenia!S311*Założenia!S$322*Założenia!$H77/1000000</f>
        <v>0</v>
      </c>
    </row>
    <row r="90" spans="1:21" s="1" customFormat="1" ht="12">
      <c r="A90" s="96"/>
      <c r="B90" s="110" t="s">
        <v>229</v>
      </c>
      <c r="C90" s="214" t="s">
        <v>246</v>
      </c>
      <c r="D90" s="300"/>
      <c r="E90" s="194">
        <f>Założenia!D312*Założenia!D$323*Założenia!$E$184*Założenia!$E$123*Założenia!E90/1000000</f>
        <v>0</v>
      </c>
      <c r="F90" s="194">
        <f>Założenia!E312*Założenia!E$323*Założenia!$E$184*Założenia!$E$123*Założenia!F90/1000000</f>
        <v>0</v>
      </c>
      <c r="G90" s="194">
        <f>Założenia!F312*Założenia!F$323*Założenia!$E$184*Założenia!$E$123*Założenia!G90/1000000</f>
        <v>0</v>
      </c>
      <c r="H90" s="194">
        <f>Założenia!G312*Założenia!G$323*Założenia!$E$184*Założenia!$E$123*Założenia!H90/1000000</f>
        <v>0</v>
      </c>
      <c r="I90" s="194">
        <f>Założenia!H312*Założenia!H$323*Założenia!$E$184*Założenia!$E$123*Założenia!I90/1000000</f>
        <v>0</v>
      </c>
      <c r="J90" s="194">
        <f>Założenia!I312*Założenia!I$323*Założenia!$E$184*Założenia!$E$123*Założenia!J90/1000000</f>
        <v>0</v>
      </c>
      <c r="K90" s="194">
        <f>Założenia!J312*Założenia!J$323*Założenia!$E$184*Założenia!$E$123*Założenia!K90/1000000</f>
        <v>0</v>
      </c>
      <c r="L90" s="194">
        <f>Założenia!K312*Założenia!K$323*Założenia!$E$184*Założenia!$E$123*Założenia!L90/1000000</f>
        <v>3.6592634789145932E-3</v>
      </c>
      <c r="M90" s="194">
        <f>Założenia!L312*Założenia!L$323*Założenia!$E$184*Założenia!$E$123*Założenia!M90/1000000</f>
        <v>3.6004126015971843E-3</v>
      </c>
      <c r="N90" s="194">
        <f>Założenia!M312*Założenia!M$323*Założenia!$E$184*Założenia!$E$123*Założenia!N90/1000000</f>
        <v>3.5415617242797763E-3</v>
      </c>
      <c r="O90" s="194">
        <f>Założenia!N312*Założenia!N$323*Założenia!$E$184*Założenia!$E$123*Założenia!O90/1000000</f>
        <v>3.3671109093745999E-3</v>
      </c>
      <c r="P90" s="194">
        <f>Założenia!O312*Założenia!O$323*Założenia!$E$184*Założenia!$E$123*Założenia!P90/1000000</f>
        <v>3.192660094469424E-3</v>
      </c>
      <c r="Q90" s="194">
        <f>Założenia!P312*Założenia!P$323*Założenia!$E$184*Założenia!$E$123*Założenia!Q90/1000000</f>
        <v>3.018209279564248E-3</v>
      </c>
      <c r="R90" s="194">
        <f>Założenia!Q312*Założenia!Q$323*Założenia!$E$184*Założenia!$E$123*Założenia!R90/1000000</f>
        <v>2.8437584646590717E-3</v>
      </c>
      <c r="S90" s="194">
        <f>Założenia!R312*Założenia!R$323*Założenia!$E$184*Założenia!$E$123*Założenia!S90/1000000</f>
        <v>2.6693076497538962E-3</v>
      </c>
      <c r="T90" s="194">
        <f>Założenia!S312*Założenia!S$323*Założenia!$E$184*Założenia!$E$123*Założenia!T90/1000000</f>
        <v>2.4538714024312392E-3</v>
      </c>
    </row>
    <row r="91" spans="1:21" s="26" customFormat="1">
      <c r="A91" s="108" t="s">
        <v>30</v>
      </c>
      <c r="B91" s="166" t="s">
        <v>161</v>
      </c>
      <c r="C91" s="214" t="s">
        <v>0</v>
      </c>
      <c r="D91" s="301"/>
      <c r="E91" s="107">
        <f>E95+E99+E107+E103</f>
        <v>747171.99006582634</v>
      </c>
      <c r="F91" s="107">
        <f t="shared" ref="F91:T91" si="46">F95+F99+F107+F103</f>
        <v>778215.27616428293</v>
      </c>
      <c r="G91" s="107">
        <f t="shared" si="46"/>
        <v>808103.0823933793</v>
      </c>
      <c r="H91" s="107">
        <f t="shared" si="46"/>
        <v>833416.70504552557</v>
      </c>
      <c r="I91" s="107">
        <f t="shared" si="46"/>
        <v>858307.58262687316</v>
      </c>
      <c r="J91" s="107">
        <f t="shared" si="46"/>
        <v>884069.70969147212</v>
      </c>
      <c r="K91" s="107">
        <f t="shared" si="46"/>
        <v>910737.81801011821</v>
      </c>
      <c r="L91" s="107">
        <f t="shared" si="46"/>
        <v>702215.79290074855</v>
      </c>
      <c r="M91" s="107">
        <f t="shared" si="46"/>
        <v>722482.84044688579</v>
      </c>
      <c r="N91" s="107">
        <f t="shared" si="46"/>
        <v>742280.93448133138</v>
      </c>
      <c r="O91" s="107">
        <f t="shared" si="46"/>
        <v>761535.0190202666</v>
      </c>
      <c r="P91" s="107">
        <f t="shared" si="46"/>
        <v>780798.04461705626</v>
      </c>
      <c r="Q91" s="107">
        <f t="shared" si="46"/>
        <v>800037.7225816258</v>
      </c>
      <c r="R91" s="107">
        <f t="shared" si="46"/>
        <v>819219.41470761667</v>
      </c>
      <c r="S91" s="107">
        <f t="shared" si="46"/>
        <v>838305.74479165277</v>
      </c>
      <c r="T91" s="107">
        <f t="shared" si="46"/>
        <v>857928.61685631936</v>
      </c>
      <c r="U91" s="13"/>
    </row>
    <row r="92" spans="1:21" s="26" customFormat="1">
      <c r="A92" s="96" t="s">
        <v>51</v>
      </c>
      <c r="B92" s="166" t="s">
        <v>456</v>
      </c>
      <c r="C92" s="214"/>
      <c r="D92" s="214"/>
      <c r="E92" s="172"/>
      <c r="F92" s="172"/>
      <c r="G92" s="172"/>
      <c r="H92" s="172"/>
      <c r="I92" s="172"/>
      <c r="J92" s="172"/>
      <c r="K92" s="172"/>
      <c r="L92" s="172"/>
      <c r="M92" s="172"/>
      <c r="N92" s="172"/>
      <c r="O92" s="172"/>
      <c r="P92" s="172"/>
      <c r="Q92" s="172"/>
      <c r="R92" s="172"/>
      <c r="S92" s="172"/>
      <c r="T92" s="172"/>
      <c r="U92" s="13"/>
    </row>
    <row r="93" spans="1:21" s="26" customFormat="1">
      <c r="A93" s="96"/>
      <c r="B93" s="112" t="s">
        <v>162</v>
      </c>
      <c r="C93" s="214" t="s">
        <v>146</v>
      </c>
      <c r="D93" s="214"/>
      <c r="E93" s="173">
        <f>Założenia!E26</f>
        <v>0.35782385425306568</v>
      </c>
      <c r="F93" s="173">
        <f>Założenia!F26</f>
        <v>0.37238288766487126</v>
      </c>
      <c r="G93" s="173">
        <f>Założenia!G26</f>
        <v>0.3866844670998264</v>
      </c>
      <c r="H93" s="173">
        <f>Założenia!H26</f>
        <v>0.39879725926567333</v>
      </c>
      <c r="I93" s="173">
        <f>Założenia!I26</f>
        <v>0.4107077641788387</v>
      </c>
      <c r="J93" s="173">
        <f>Założenia!J26</f>
        <v>0.42303516967001475</v>
      </c>
      <c r="K93" s="173">
        <f>Założenia!K26</f>
        <v>0.4357960951984936</v>
      </c>
      <c r="L93" s="173">
        <f>Założenia!L26</f>
        <v>0.4486581865950911</v>
      </c>
      <c r="M93" s="173">
        <f>Założenia!M26</f>
        <v>0.46160716451842254</v>
      </c>
      <c r="N93" s="173">
        <f>Założenia!N26</f>
        <v>0.47425651968436211</v>
      </c>
      <c r="O93" s="173">
        <f>Założenia!O26</f>
        <v>0.48655829748702706</v>
      </c>
      <c r="P93" s="173">
        <f>Założenia!P26</f>
        <v>0.49886578789092351</v>
      </c>
      <c r="Q93" s="173">
        <f>Założenia!Q26</f>
        <v>0.51115836107643908</v>
      </c>
      <c r="R93" s="173">
        <f>Założenia!R26</f>
        <v>0.52341388607612926</v>
      </c>
      <c r="S93" s="173">
        <f>Założenia!S26</f>
        <v>0.53560848256745219</v>
      </c>
      <c r="T93" s="173">
        <f>Założenia!T26</f>
        <v>0.54814588529368946</v>
      </c>
      <c r="U93" s="13"/>
    </row>
    <row r="94" spans="1:21" s="26" customFormat="1">
      <c r="A94" s="96"/>
      <c r="B94" s="112" t="s">
        <v>77</v>
      </c>
      <c r="C94" s="214" t="s">
        <v>136</v>
      </c>
      <c r="D94" s="214"/>
      <c r="E94" s="106">
        <f>(Założenia!D305+Założenia!D306+Założenia!D307+Założenia!D308+Założenia!D309)*Założenia!D321</f>
        <v>0</v>
      </c>
      <c r="F94" s="106">
        <f>(Założenia!E305+Założenia!E306+Założenia!E307+Założenia!E308+Założenia!E309)*Założenia!E321</f>
        <v>0</v>
      </c>
      <c r="G94" s="106">
        <f>(Założenia!F305+Założenia!F306+Założenia!F307+Założenia!F308+Założenia!F309)*Założenia!F321</f>
        <v>0</v>
      </c>
      <c r="H94" s="106">
        <f>(Założenia!G305+Założenia!G306+Założenia!G307+Założenia!G308+Założenia!G309)*Założenia!G321</f>
        <v>0</v>
      </c>
      <c r="I94" s="106">
        <f>(Założenia!H305+Założenia!H306+Założenia!H307+Założenia!H308+Założenia!H309)*Założenia!H321</f>
        <v>0</v>
      </c>
      <c r="J94" s="106">
        <f>(Założenia!I305+Założenia!I306+Założenia!I307+Założenia!I308+Założenia!I309)*Założenia!I321</f>
        <v>0</v>
      </c>
      <c r="K94" s="106">
        <f>(Założenia!J305+Założenia!J306+Założenia!J307+Założenia!J308+Założenia!J309)*Założenia!J321</f>
        <v>0</v>
      </c>
      <c r="L94" s="106">
        <f>(Założenia!K305+Założenia!K306+Założenia!K307+Założenia!K308+Założenia!K309)*Założenia!K321</f>
        <v>0</v>
      </c>
      <c r="M94" s="106">
        <f>(Założenia!L305+Założenia!L306+Założenia!L307+Założenia!L308+Założenia!L309)*Założenia!L321</f>
        <v>0</v>
      </c>
      <c r="N94" s="106">
        <f>(Założenia!M305+Założenia!M306+Założenia!M307+Założenia!M308+Założenia!M309)*Założenia!M321</f>
        <v>0</v>
      </c>
      <c r="O94" s="106">
        <f>(Założenia!N305+Założenia!N306+Założenia!N307+Założenia!N308+Założenia!N309)*Założenia!N321</f>
        <v>0</v>
      </c>
      <c r="P94" s="106">
        <f>(Założenia!O305+Założenia!O306+Założenia!O307+Założenia!O308+Założenia!O309)*Założenia!O321</f>
        <v>0</v>
      </c>
      <c r="Q94" s="106">
        <f>(Założenia!P305+Założenia!P306+Założenia!P307+Założenia!P308+Założenia!P309)*Założenia!P321</f>
        <v>0</v>
      </c>
      <c r="R94" s="106">
        <f>(Założenia!Q305+Założenia!Q306+Założenia!Q307+Założenia!Q308+Założenia!Q309)*Założenia!Q321</f>
        <v>0</v>
      </c>
      <c r="S94" s="106">
        <f>(Założenia!R305+Założenia!R306+Założenia!R307+Założenia!R308+Założenia!R309)*Założenia!R321</f>
        <v>0</v>
      </c>
      <c r="T94" s="106">
        <f>(Założenia!S305+Założenia!S306+Założenia!S307+Założenia!S308+Założenia!S309)*Założenia!S321</f>
        <v>0</v>
      </c>
      <c r="U94" s="13"/>
    </row>
    <row r="95" spans="1:21" s="26" customFormat="1">
      <c r="A95" s="96"/>
      <c r="B95" s="112" t="s">
        <v>163</v>
      </c>
      <c r="C95" s="214" t="s">
        <v>0</v>
      </c>
      <c r="D95" s="214"/>
      <c r="E95" s="106">
        <f>E93*E94</f>
        <v>0</v>
      </c>
      <c r="F95" s="106">
        <f t="shared" ref="F95:T95" si="47">F93*F94</f>
        <v>0</v>
      </c>
      <c r="G95" s="106">
        <f t="shared" si="47"/>
        <v>0</v>
      </c>
      <c r="H95" s="106">
        <f t="shared" si="47"/>
        <v>0</v>
      </c>
      <c r="I95" s="106">
        <f t="shared" si="47"/>
        <v>0</v>
      </c>
      <c r="J95" s="106">
        <f t="shared" si="47"/>
        <v>0</v>
      </c>
      <c r="K95" s="106">
        <f t="shared" si="47"/>
        <v>0</v>
      </c>
      <c r="L95" s="106">
        <f t="shared" si="47"/>
        <v>0</v>
      </c>
      <c r="M95" s="106">
        <f t="shared" si="47"/>
        <v>0</v>
      </c>
      <c r="N95" s="106">
        <f t="shared" si="47"/>
        <v>0</v>
      </c>
      <c r="O95" s="106">
        <f t="shared" si="47"/>
        <v>0</v>
      </c>
      <c r="P95" s="106">
        <f t="shared" si="47"/>
        <v>0</v>
      </c>
      <c r="Q95" s="106">
        <f t="shared" si="47"/>
        <v>0</v>
      </c>
      <c r="R95" s="106">
        <f t="shared" si="47"/>
        <v>0</v>
      </c>
      <c r="S95" s="106">
        <f t="shared" si="47"/>
        <v>0</v>
      </c>
      <c r="T95" s="106">
        <f t="shared" si="47"/>
        <v>0</v>
      </c>
      <c r="U95" s="13"/>
    </row>
    <row r="96" spans="1:21" s="26" customFormat="1">
      <c r="A96" s="96" t="s">
        <v>52</v>
      </c>
      <c r="B96" s="166" t="s">
        <v>434</v>
      </c>
      <c r="C96" s="214"/>
      <c r="D96" s="214"/>
      <c r="E96" s="172"/>
      <c r="F96" s="172"/>
      <c r="G96" s="172"/>
      <c r="H96" s="172"/>
      <c r="I96" s="172"/>
      <c r="J96" s="172"/>
      <c r="K96" s="172"/>
      <c r="L96" s="172"/>
      <c r="M96" s="172"/>
      <c r="N96" s="172"/>
      <c r="O96" s="172"/>
      <c r="P96" s="172"/>
      <c r="Q96" s="172"/>
      <c r="R96" s="172"/>
      <c r="S96" s="172"/>
      <c r="T96" s="172"/>
      <c r="U96" s="13"/>
    </row>
    <row r="97" spans="1:21" s="26" customFormat="1">
      <c r="A97" s="96"/>
      <c r="B97" s="112" t="s">
        <v>162</v>
      </c>
      <c r="C97" s="214" t="s">
        <v>146</v>
      </c>
      <c r="D97" s="214"/>
      <c r="E97" s="173">
        <f>E93*(1-Założenia!$E$29)</f>
        <v>0.33993266154041235</v>
      </c>
      <c r="F97" s="173">
        <f>F93*(1-Założenia!$E$29)</f>
        <v>0.35376374328162769</v>
      </c>
      <c r="G97" s="173">
        <f>G93*(1-Założenia!$E$29)</f>
        <v>0.36735024374483505</v>
      </c>
      <c r="H97" s="173">
        <f>H93*(1-Założenia!$E$29)</f>
        <v>0.37885739630238963</v>
      </c>
      <c r="I97" s="173">
        <f>I93*(1-Założenia!$E$29)</f>
        <v>0.39017237596989673</v>
      </c>
      <c r="J97" s="173">
        <f>J93*(1-Założenia!$E$29)</f>
        <v>0.40188341118651399</v>
      </c>
      <c r="K97" s="173">
        <f>K93*(1-Założenia!$E$29)</f>
        <v>0.4140062904385689</v>
      </c>
      <c r="L97" s="173">
        <f>L93*(1-Założenia!$E$29)</f>
        <v>0.42622527726533654</v>
      </c>
      <c r="M97" s="173">
        <f>M93*(1-Założenia!$E$29)</f>
        <v>0.4385268062925014</v>
      </c>
      <c r="N97" s="173">
        <f>N93*(1-Założenia!$E$29)</f>
        <v>0.45054369370014397</v>
      </c>
      <c r="O97" s="173">
        <f>O93*(1-Założenia!$E$29)</f>
        <v>0.46223038261267568</v>
      </c>
      <c r="P97" s="173">
        <f>P93*(1-Założenia!$E$29)</f>
        <v>0.4739224984963773</v>
      </c>
      <c r="Q97" s="173">
        <f>Q93*(1-Założenia!$E$29)</f>
        <v>0.48560044302261712</v>
      </c>
      <c r="R97" s="173">
        <f>R93*(1-Założenia!$E$29)</f>
        <v>0.49724319177232279</v>
      </c>
      <c r="S97" s="173">
        <f>S93*(1-Założenia!$E$29)</f>
        <v>0.50882805843907952</v>
      </c>
      <c r="T97" s="173">
        <f>T93*(1-Założenia!$E$29)</f>
        <v>0.52073859102900499</v>
      </c>
      <c r="U97" s="13"/>
    </row>
    <row r="98" spans="1:21" s="26" customFormat="1">
      <c r="A98" s="96"/>
      <c r="B98" s="112" t="s">
        <v>77</v>
      </c>
      <c r="C98" s="214" t="s">
        <v>136</v>
      </c>
      <c r="D98" s="214"/>
      <c r="E98" s="106">
        <f>Założenia!D310*Założenia!D321+Założenia!D302*Założenia!D320</f>
        <v>2198000</v>
      </c>
      <c r="F98" s="106">
        <f>Założenia!E310*Założenia!E321+Założenia!E302*Założenia!E320</f>
        <v>2199816.3772954927</v>
      </c>
      <c r="G98" s="106">
        <f>Założenia!F310*Założenia!F321+Założenia!F302*Założenia!F320</f>
        <v>2199816.3772954927</v>
      </c>
      <c r="H98" s="106">
        <f>Założenia!G310*Założenia!G321+Założenia!G302*Założenia!G320</f>
        <v>2199816.3772954927</v>
      </c>
      <c r="I98" s="106">
        <f>Założenia!H310*Założenia!H321+Założenia!H302*Założenia!H320</f>
        <v>2199816.3772954927</v>
      </c>
      <c r="J98" s="106">
        <f>Założenia!I310*Założenia!I321+Założenia!I302*Założenia!I320</f>
        <v>2199816.3772954927</v>
      </c>
      <c r="K98" s="106">
        <f>Założenia!J310*Założenia!J321+Założenia!J302*Założenia!J320</f>
        <v>2199816.3772954927</v>
      </c>
      <c r="L98" s="106">
        <f>Założenia!K310*Założenia!K321+Założenia!K302*Założenia!K320</f>
        <v>1500154.2162864031</v>
      </c>
      <c r="M98" s="106">
        <f>Założenia!L310*Założenia!L321+Założenia!L302*Założenia!L320</f>
        <v>1500154.2162864031</v>
      </c>
      <c r="N98" s="106">
        <f>Założenia!M310*Założenia!M321+Założenia!M302*Założenia!M320</f>
        <v>1500154.2162864031</v>
      </c>
      <c r="O98" s="106">
        <f>Założenia!N310*Założenia!N321+Założenia!N302*Założenia!N320</f>
        <v>1500154.2162864031</v>
      </c>
      <c r="P98" s="106">
        <f>Założenia!O310*Założenia!O321+Założenia!O302*Założenia!O320</f>
        <v>1500154.2162864031</v>
      </c>
      <c r="Q98" s="106">
        <f>Założenia!P310*Założenia!P321+Założenia!P302*Założenia!P320</f>
        <v>1500154.2162864031</v>
      </c>
      <c r="R98" s="106">
        <f>Założenia!Q310*Założenia!Q321+Założenia!Q302*Założenia!Q320</f>
        <v>1500154.2162864031</v>
      </c>
      <c r="S98" s="106">
        <f>Założenia!R310*Założenia!R321+Założenia!R302*Założenia!R320</f>
        <v>1500154.2162864031</v>
      </c>
      <c r="T98" s="106">
        <f>Założenia!S310*Założenia!S321+Założenia!S302*Założenia!S320</f>
        <v>1500154.2162864031</v>
      </c>
      <c r="U98" s="13"/>
    </row>
    <row r="99" spans="1:21" s="26" customFormat="1">
      <c r="A99" s="96"/>
      <c r="B99" s="112" t="s">
        <v>163</v>
      </c>
      <c r="C99" s="214" t="s">
        <v>0</v>
      </c>
      <c r="D99" s="214"/>
      <c r="E99" s="106">
        <f>E97*E98</f>
        <v>747171.99006582634</v>
      </c>
      <c r="F99" s="106">
        <f t="shared" ref="F99:T99" si="48">F97*F98</f>
        <v>778215.27616428293</v>
      </c>
      <c r="G99" s="106">
        <f t="shared" si="48"/>
        <v>808103.0823933793</v>
      </c>
      <c r="H99" s="106">
        <f t="shared" si="48"/>
        <v>833416.70504552557</v>
      </c>
      <c r="I99" s="106">
        <f t="shared" si="48"/>
        <v>858307.58262687316</v>
      </c>
      <c r="J99" s="106">
        <f t="shared" si="48"/>
        <v>884069.70969147212</v>
      </c>
      <c r="K99" s="106">
        <f t="shared" si="48"/>
        <v>910737.81801011821</v>
      </c>
      <c r="L99" s="106">
        <f t="shared" si="48"/>
        <v>639403.64677743579</v>
      </c>
      <c r="M99" s="106">
        <f t="shared" si="48"/>
        <v>657857.8374143067</v>
      </c>
      <c r="N99" s="106">
        <f t="shared" si="48"/>
        <v>675885.02172552072</v>
      </c>
      <c r="O99" s="106">
        <f t="shared" si="48"/>
        <v>693416.85737208277</v>
      </c>
      <c r="P99" s="106">
        <f t="shared" si="48"/>
        <v>710956.83431232697</v>
      </c>
      <c r="Q99" s="106">
        <f t="shared" si="48"/>
        <v>728475.55203092436</v>
      </c>
      <c r="R99" s="106">
        <f t="shared" si="48"/>
        <v>745941.47065695853</v>
      </c>
      <c r="S99" s="106">
        <f t="shared" si="48"/>
        <v>763320.55723220948</v>
      </c>
      <c r="T99" s="106">
        <f t="shared" si="48"/>
        <v>781188.19291520282</v>
      </c>
      <c r="U99" s="13"/>
    </row>
    <row r="100" spans="1:21" s="26" customFormat="1">
      <c r="A100" s="96" t="s">
        <v>58</v>
      </c>
      <c r="B100" s="166" t="s">
        <v>435</v>
      </c>
      <c r="C100" s="214"/>
      <c r="D100" s="214"/>
      <c r="E100" s="172"/>
      <c r="F100" s="172"/>
      <c r="G100" s="172"/>
      <c r="H100" s="172"/>
      <c r="I100" s="172"/>
      <c r="J100" s="172"/>
      <c r="K100" s="172"/>
      <c r="L100" s="172"/>
      <c r="M100" s="172"/>
      <c r="N100" s="172"/>
      <c r="O100" s="172"/>
      <c r="P100" s="172"/>
      <c r="Q100" s="172"/>
      <c r="R100" s="172"/>
      <c r="S100" s="172"/>
      <c r="T100" s="172"/>
      <c r="U100" s="13"/>
    </row>
    <row r="101" spans="1:21" s="26" customFormat="1">
      <c r="A101" s="96"/>
      <c r="B101" s="112" t="s">
        <v>162</v>
      </c>
      <c r="C101" s="214" t="s">
        <v>146</v>
      </c>
      <c r="D101" s="214"/>
      <c r="E101" s="173">
        <f>E97*(1-Założenia!$E$30)</f>
        <v>0.3059393953863711</v>
      </c>
      <c r="F101" s="173">
        <f>F97*(1-Założenia!$E$30)</f>
        <v>0.31838736895346492</v>
      </c>
      <c r="G101" s="173">
        <f>G97*(1-Założenia!$E$30)</f>
        <v>0.33061521937035154</v>
      </c>
      <c r="H101" s="173">
        <f>H97*(1-Założenia!$E$30)</f>
        <v>0.34097165667215068</v>
      </c>
      <c r="I101" s="173">
        <f>I97*(1-Założenia!$E$30)</f>
        <v>0.35115513837290707</v>
      </c>
      <c r="J101" s="173">
        <f>J97*(1-Założenia!$E$30)</f>
        <v>0.36169507006786261</v>
      </c>
      <c r="K101" s="173">
        <f>K97*(1-Założenia!$E$30)</f>
        <v>0.37260566139471202</v>
      </c>
      <c r="L101" s="173">
        <f>L97*(1-Założenia!$E$30)</f>
        <v>0.38360274953880291</v>
      </c>
      <c r="M101" s="173">
        <f>M97*(1-Założenia!$E$30)</f>
        <v>0.39467412566325127</v>
      </c>
      <c r="N101" s="173">
        <f>N97*(1-Założenia!$E$30)</f>
        <v>0.40548932433012957</v>
      </c>
      <c r="O101" s="173">
        <f>O97*(1-Założenia!$E$30)</f>
        <v>0.41600734435140813</v>
      </c>
      <c r="P101" s="173">
        <f>P97*(1-Założenia!$E$30)</f>
        <v>0.42653024864673955</v>
      </c>
      <c r="Q101" s="173">
        <f>Q97*(1-Założenia!$E$30)</f>
        <v>0.43704039872035544</v>
      </c>
      <c r="R101" s="173">
        <f>R97*(1-Założenia!$E$30)</f>
        <v>0.44751887259509054</v>
      </c>
      <c r="S101" s="173">
        <f>S97*(1-Założenia!$E$30)</f>
        <v>0.4579452525951716</v>
      </c>
      <c r="T101" s="173">
        <f>T97*(1-Założenia!$E$30)</f>
        <v>0.46866473192610453</v>
      </c>
      <c r="U101" s="13"/>
    </row>
    <row r="102" spans="1:21" s="26" customFormat="1">
      <c r="A102" s="96"/>
      <c r="B102" s="112" t="s">
        <v>77</v>
      </c>
      <c r="C102" s="214" t="s">
        <v>136</v>
      </c>
      <c r="D102" s="214"/>
      <c r="E102" s="106">
        <f>Założenia!D311*Założenia!D322</f>
        <v>0</v>
      </c>
      <c r="F102" s="106">
        <f>Założenia!E311*Założenia!E322</f>
        <v>0</v>
      </c>
      <c r="G102" s="106">
        <f>Założenia!F311*Założenia!F322</f>
        <v>0</v>
      </c>
      <c r="H102" s="106">
        <f>Założenia!G311*Założenia!G322</f>
        <v>0</v>
      </c>
      <c r="I102" s="106">
        <f>Założenia!H311*Założenia!H322</f>
        <v>0</v>
      </c>
      <c r="J102" s="106">
        <f>Założenia!I311*Założenia!I322</f>
        <v>0</v>
      </c>
      <c r="K102" s="106">
        <f>Założenia!J311*Założenia!J322</f>
        <v>0</v>
      </c>
      <c r="L102" s="106">
        <f>Założenia!K311*Założenia!K322</f>
        <v>0</v>
      </c>
      <c r="M102" s="106">
        <f>Założenia!L311*Założenia!L322</f>
        <v>0</v>
      </c>
      <c r="N102" s="106">
        <f>Założenia!M311*Założenia!M322</f>
        <v>0</v>
      </c>
      <c r="O102" s="106">
        <f>Założenia!N311*Założenia!N322</f>
        <v>0</v>
      </c>
      <c r="P102" s="106">
        <f>Założenia!O311*Założenia!O322</f>
        <v>0</v>
      </c>
      <c r="Q102" s="106">
        <f>Założenia!P311*Założenia!P322</f>
        <v>0</v>
      </c>
      <c r="R102" s="106">
        <f>Założenia!Q311*Założenia!Q322</f>
        <v>0</v>
      </c>
      <c r="S102" s="106">
        <f>Założenia!R311*Założenia!R322</f>
        <v>0</v>
      </c>
      <c r="T102" s="106">
        <f>Założenia!S311*Założenia!S322</f>
        <v>0</v>
      </c>
      <c r="U102" s="13"/>
    </row>
    <row r="103" spans="1:21" s="26" customFormat="1">
      <c r="A103" s="96"/>
      <c r="B103" s="112" t="s">
        <v>163</v>
      </c>
      <c r="C103" s="214" t="s">
        <v>0</v>
      </c>
      <c r="D103" s="214"/>
      <c r="E103" s="106">
        <f>E101*E102</f>
        <v>0</v>
      </c>
      <c r="F103" s="106">
        <f t="shared" ref="F103:T103" si="49">F101*F102</f>
        <v>0</v>
      </c>
      <c r="G103" s="106">
        <f t="shared" si="49"/>
        <v>0</v>
      </c>
      <c r="H103" s="106">
        <f t="shared" si="49"/>
        <v>0</v>
      </c>
      <c r="I103" s="106">
        <f t="shared" si="49"/>
        <v>0</v>
      </c>
      <c r="J103" s="106">
        <f t="shared" si="49"/>
        <v>0</v>
      </c>
      <c r="K103" s="106">
        <f t="shared" si="49"/>
        <v>0</v>
      </c>
      <c r="L103" s="106">
        <f t="shared" si="49"/>
        <v>0</v>
      </c>
      <c r="M103" s="106">
        <f t="shared" si="49"/>
        <v>0</v>
      </c>
      <c r="N103" s="106">
        <f t="shared" si="49"/>
        <v>0</v>
      </c>
      <c r="O103" s="106">
        <f t="shared" si="49"/>
        <v>0</v>
      </c>
      <c r="P103" s="106">
        <f t="shared" si="49"/>
        <v>0</v>
      </c>
      <c r="Q103" s="106">
        <f t="shared" si="49"/>
        <v>0</v>
      </c>
      <c r="R103" s="106">
        <f t="shared" si="49"/>
        <v>0</v>
      </c>
      <c r="S103" s="106">
        <f t="shared" si="49"/>
        <v>0</v>
      </c>
      <c r="T103" s="106">
        <f t="shared" si="49"/>
        <v>0</v>
      </c>
      <c r="U103" s="13"/>
    </row>
    <row r="104" spans="1:21" s="26" customFormat="1">
      <c r="A104" s="96" t="s">
        <v>361</v>
      </c>
      <c r="B104" s="166" t="s">
        <v>229</v>
      </c>
      <c r="C104" s="214"/>
      <c r="D104" s="214"/>
      <c r="E104" s="172"/>
      <c r="F104" s="172"/>
      <c r="G104" s="172"/>
      <c r="H104" s="172"/>
      <c r="I104" s="172"/>
      <c r="J104" s="172"/>
      <c r="K104" s="172"/>
      <c r="L104" s="172"/>
      <c r="M104" s="172"/>
      <c r="N104" s="172"/>
      <c r="O104" s="172"/>
      <c r="P104" s="172"/>
      <c r="Q104" s="172"/>
      <c r="R104" s="172"/>
      <c r="S104" s="172"/>
      <c r="T104" s="172"/>
      <c r="U104" s="13"/>
    </row>
    <row r="105" spans="1:21" s="26" customFormat="1">
      <c r="A105" s="96"/>
      <c r="B105" s="112" t="s">
        <v>162</v>
      </c>
      <c r="C105" s="214" t="s">
        <v>146</v>
      </c>
      <c r="D105" s="214"/>
      <c r="E105" s="173">
        <f>Założenia!E26*(1-Założenia!$E$28)</f>
        <v>7.1564770850613121E-2</v>
      </c>
      <c r="F105" s="173">
        <f>Założenia!F26*(1-Założenia!$E$28)</f>
        <v>7.4476577532974236E-2</v>
      </c>
      <c r="G105" s="173">
        <f>Założenia!G26*(1-Założenia!$E$28)</f>
        <v>7.7336893419965261E-2</v>
      </c>
      <c r="H105" s="173">
        <f>Założenia!H26*(1-Założenia!$E$28)</f>
        <v>7.9759451853134655E-2</v>
      </c>
      <c r="I105" s="173">
        <f>Założenia!I26*(1-Założenia!$E$28)</f>
        <v>8.2141552835767725E-2</v>
      </c>
      <c r="J105" s="173">
        <f>Założenia!J26*(1-Założenia!$E$28)</f>
        <v>8.4607033934002929E-2</v>
      </c>
      <c r="K105" s="173">
        <f>Założenia!K26*(1-Założenia!$E$28)</f>
        <v>8.7159219039698699E-2</v>
      </c>
      <c r="L105" s="173">
        <f>Założenia!L26*(1-Założenia!$E$28)</f>
        <v>8.9731637319018204E-2</v>
      </c>
      <c r="M105" s="173">
        <f>Założenia!M26*(1-Założenia!$E$28)</f>
        <v>9.2321432903684483E-2</v>
      </c>
      <c r="N105" s="173">
        <f>Założenia!N26*(1-Założenia!$E$28)</f>
        <v>9.4851303936872397E-2</v>
      </c>
      <c r="O105" s="173">
        <f>Założenia!O26*(1-Założenia!$E$28)</f>
        <v>9.7311659497405389E-2</v>
      </c>
      <c r="P105" s="173">
        <f>Założenia!P26*(1-Założenia!$E$28)</f>
        <v>9.9773157578184682E-2</v>
      </c>
      <c r="Q105" s="173">
        <f>Założenia!Q26*(1-Założenia!$E$28)</f>
        <v>0.1022316722152878</v>
      </c>
      <c r="R105" s="173">
        <f>Założenia!R26*(1-Założenia!$E$28)</f>
        <v>0.10468277721522583</v>
      </c>
      <c r="S105" s="173">
        <f>Założenia!S26*(1-Założenia!$E$28)</f>
        <v>0.10712169651349042</v>
      </c>
      <c r="T105" s="173">
        <f>Założenia!T26*(1-Założenia!$E$28)</f>
        <v>0.10962917705873787</v>
      </c>
      <c r="U105" s="13"/>
    </row>
    <row r="106" spans="1:21" s="26" customFormat="1">
      <c r="A106" s="96"/>
      <c r="B106" s="112" t="s">
        <v>77</v>
      </c>
      <c r="C106" s="214" t="s">
        <v>136</v>
      </c>
      <c r="D106" s="214"/>
      <c r="E106" s="106">
        <f>Założenia!D312*Założenia!D323</f>
        <v>0</v>
      </c>
      <c r="F106" s="106">
        <f>Założenia!E312*Założenia!E323</f>
        <v>0</v>
      </c>
      <c r="G106" s="106">
        <f>Założenia!F312*Założenia!F323</f>
        <v>0</v>
      </c>
      <c r="H106" s="106">
        <f>Założenia!G312*Założenia!G323</f>
        <v>0</v>
      </c>
      <c r="I106" s="106">
        <f>Założenia!H312*Założenia!H323</f>
        <v>0</v>
      </c>
      <c r="J106" s="106">
        <f>Założenia!I312*Założenia!I323</f>
        <v>0</v>
      </c>
      <c r="K106" s="106">
        <f>Założenia!J312*Założenia!J323</f>
        <v>0</v>
      </c>
      <c r="L106" s="106">
        <f>Założenia!K312*Założenia!K323</f>
        <v>700000</v>
      </c>
      <c r="M106" s="106">
        <f>Założenia!L312*Założenia!L323</f>
        <v>700000</v>
      </c>
      <c r="N106" s="106">
        <f>Założenia!M312*Założenia!M323</f>
        <v>700000</v>
      </c>
      <c r="O106" s="106">
        <f>Założenia!N312*Założenia!N323</f>
        <v>700000</v>
      </c>
      <c r="P106" s="106">
        <f>Założenia!O312*Założenia!O323</f>
        <v>700000</v>
      </c>
      <c r="Q106" s="106">
        <f>Założenia!P312*Założenia!P323</f>
        <v>700000</v>
      </c>
      <c r="R106" s="106">
        <f>Założenia!Q312*Założenia!Q323</f>
        <v>700000</v>
      </c>
      <c r="S106" s="106">
        <f>Założenia!R312*Założenia!R323</f>
        <v>700000</v>
      </c>
      <c r="T106" s="106">
        <f>Założenia!S312*Założenia!S323</f>
        <v>700000</v>
      </c>
      <c r="U106" s="13"/>
    </row>
    <row r="107" spans="1:21" s="26" customFormat="1">
      <c r="A107" s="96"/>
      <c r="B107" s="112" t="s">
        <v>163</v>
      </c>
      <c r="C107" s="214" t="s">
        <v>0</v>
      </c>
      <c r="D107" s="214"/>
      <c r="E107" s="106">
        <f>E105*E106</f>
        <v>0</v>
      </c>
      <c r="F107" s="106">
        <f t="shared" ref="F107:T107" si="50">F105*F106</f>
        <v>0</v>
      </c>
      <c r="G107" s="106">
        <f t="shared" si="50"/>
        <v>0</v>
      </c>
      <c r="H107" s="106">
        <f t="shared" si="50"/>
        <v>0</v>
      </c>
      <c r="I107" s="106">
        <f t="shared" si="50"/>
        <v>0</v>
      </c>
      <c r="J107" s="106">
        <f t="shared" si="50"/>
        <v>0</v>
      </c>
      <c r="K107" s="106">
        <f t="shared" si="50"/>
        <v>0</v>
      </c>
      <c r="L107" s="106">
        <f t="shared" si="50"/>
        <v>62812.146123312741</v>
      </c>
      <c r="M107" s="106">
        <f t="shared" si="50"/>
        <v>64625.003032579138</v>
      </c>
      <c r="N107" s="106">
        <f t="shared" si="50"/>
        <v>66395.912755810685</v>
      </c>
      <c r="O107" s="106">
        <f t="shared" si="50"/>
        <v>68118.16164818377</v>
      </c>
      <c r="P107" s="106">
        <f t="shared" si="50"/>
        <v>69841.210304729277</v>
      </c>
      <c r="Q107" s="106">
        <f t="shared" si="50"/>
        <v>71562.170550701456</v>
      </c>
      <c r="R107" s="106">
        <f t="shared" si="50"/>
        <v>73277.944050658087</v>
      </c>
      <c r="S107" s="106">
        <f t="shared" si="50"/>
        <v>74985.187559443293</v>
      </c>
      <c r="T107" s="106">
        <f t="shared" si="50"/>
        <v>76740.423941116504</v>
      </c>
      <c r="U107" s="13"/>
    </row>
    <row r="108" spans="1:21" s="42" customFormat="1">
      <c r="A108" s="114"/>
      <c r="B108" s="115"/>
      <c r="C108" s="151"/>
      <c r="D108" s="151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6"/>
    </row>
    <row r="109" spans="1:21" s="1" customFormat="1" ht="12">
      <c r="A109" s="269" t="s">
        <v>27</v>
      </c>
      <c r="B109" s="95" t="s">
        <v>227</v>
      </c>
    </row>
    <row r="110" spans="1:21">
      <c r="A110" s="96" t="s">
        <v>34</v>
      </c>
      <c r="B110" s="112" t="s">
        <v>82</v>
      </c>
      <c r="C110" s="214" t="s">
        <v>0</v>
      </c>
      <c r="D110" s="300">
        <f t="shared" ref="D110:D116" si="51">SUM(E110:T110)</f>
        <v>53050000</v>
      </c>
      <c r="E110" s="40">
        <f>E111+E112</f>
        <v>0</v>
      </c>
      <c r="F110" s="40">
        <f t="shared" ref="F110:T110" si="52">F111+F112</f>
        <v>0</v>
      </c>
      <c r="G110" s="40">
        <f t="shared" si="52"/>
        <v>0</v>
      </c>
      <c r="H110" s="40">
        <f t="shared" si="52"/>
        <v>0</v>
      </c>
      <c r="I110" s="40">
        <f t="shared" si="52"/>
        <v>0</v>
      </c>
      <c r="J110" s="40">
        <f t="shared" si="52"/>
        <v>0</v>
      </c>
      <c r="K110" s="40">
        <f t="shared" si="52"/>
        <v>43610000</v>
      </c>
      <c r="L110" s="40">
        <f t="shared" si="52"/>
        <v>0</v>
      </c>
      <c r="M110" s="40">
        <f t="shared" si="52"/>
        <v>0</v>
      </c>
      <c r="N110" s="40">
        <f t="shared" si="52"/>
        <v>0</v>
      </c>
      <c r="O110" s="40">
        <f t="shared" si="52"/>
        <v>0</v>
      </c>
      <c r="P110" s="40">
        <f t="shared" si="52"/>
        <v>0</v>
      </c>
      <c r="Q110" s="40">
        <f t="shared" si="52"/>
        <v>-11700000</v>
      </c>
      <c r="R110" s="40">
        <f t="shared" si="52"/>
        <v>0</v>
      </c>
      <c r="S110" s="40">
        <f t="shared" si="52"/>
        <v>21140000</v>
      </c>
      <c r="T110" s="40">
        <f t="shared" si="52"/>
        <v>0</v>
      </c>
      <c r="U110" s="1"/>
    </row>
    <row r="111" spans="1:21" s="45" customFormat="1" ht="12">
      <c r="A111" s="96"/>
      <c r="B111" s="112" t="s">
        <v>221</v>
      </c>
      <c r="C111" s="214" t="s">
        <v>0</v>
      </c>
      <c r="D111" s="300">
        <f>SUM(E111:T111)</f>
        <v>49400000</v>
      </c>
      <c r="E111" s="233">
        <f>Opcje!E66-'Scenariusz bazowy'!E111</f>
        <v>0</v>
      </c>
      <c r="F111" s="233">
        <f>Opcje!F66-'Scenariusz bazowy'!F111</f>
        <v>0</v>
      </c>
      <c r="G111" s="233">
        <f>Opcje!G66-'Scenariusz bazowy'!G111</f>
        <v>0</v>
      </c>
      <c r="H111" s="233">
        <f>Opcje!H66-'Scenariusz bazowy'!H111</f>
        <v>0</v>
      </c>
      <c r="I111" s="233">
        <f>Opcje!I66-'Scenariusz bazowy'!I111</f>
        <v>0</v>
      </c>
      <c r="J111" s="233">
        <f>Opcje!J66-'Scenariusz bazowy'!J111</f>
        <v>0</v>
      </c>
      <c r="K111" s="233">
        <f>Opcje!K66-'Scenariusz bazowy'!K111</f>
        <v>39960000</v>
      </c>
      <c r="L111" s="233">
        <f>Opcje!L66-'Scenariusz bazowy'!L111</f>
        <v>0</v>
      </c>
      <c r="M111" s="233">
        <f>Opcje!M66-'Scenariusz bazowy'!M111</f>
        <v>0</v>
      </c>
      <c r="N111" s="233">
        <f>Opcje!N66-'Scenariusz bazowy'!N111</f>
        <v>0</v>
      </c>
      <c r="O111" s="233">
        <f>Opcje!O66-'Scenariusz bazowy'!O111</f>
        <v>0</v>
      </c>
      <c r="P111" s="233">
        <f>Opcje!P66-'Scenariusz bazowy'!P111</f>
        <v>0</v>
      </c>
      <c r="Q111" s="233">
        <f>Opcje!Q66-'Scenariusz bazowy'!Q111</f>
        <v>-11700000</v>
      </c>
      <c r="R111" s="233">
        <f>Opcje!R66-'Scenariusz bazowy'!R111</f>
        <v>0</v>
      </c>
      <c r="S111" s="233">
        <f>Opcje!S66-'Scenariusz bazowy'!S111</f>
        <v>21140000</v>
      </c>
      <c r="T111" s="233">
        <f>Opcje!T66-'Scenariusz bazowy'!T111</f>
        <v>0</v>
      </c>
      <c r="U111" s="1"/>
    </row>
    <row r="112" spans="1:21" s="27" customFormat="1" ht="12">
      <c r="A112" s="96"/>
      <c r="B112" s="112" t="s">
        <v>222</v>
      </c>
      <c r="C112" s="214" t="s">
        <v>0</v>
      </c>
      <c r="D112" s="300">
        <f t="shared" si="51"/>
        <v>3650000</v>
      </c>
      <c r="E112" s="233">
        <f>Opcje!E67-'Scenariusz bazowy'!E112</f>
        <v>0</v>
      </c>
      <c r="F112" s="233">
        <f>Opcje!F67-'Scenariusz bazowy'!F112</f>
        <v>0</v>
      </c>
      <c r="G112" s="233">
        <f>Opcje!G67-'Scenariusz bazowy'!G112</f>
        <v>0</v>
      </c>
      <c r="H112" s="233">
        <f>Opcje!H67-'Scenariusz bazowy'!H112</f>
        <v>0</v>
      </c>
      <c r="I112" s="233">
        <f>Opcje!I67-'Scenariusz bazowy'!I112</f>
        <v>0</v>
      </c>
      <c r="J112" s="233">
        <f>Opcje!J67-'Scenariusz bazowy'!J112</f>
        <v>0</v>
      </c>
      <c r="K112" s="233">
        <f>Opcje!K67-'Scenariusz bazowy'!K112</f>
        <v>3650000</v>
      </c>
      <c r="L112" s="233">
        <f>Opcje!L67-'Scenariusz bazowy'!L112</f>
        <v>0</v>
      </c>
      <c r="M112" s="233">
        <f>Opcje!M67-'Scenariusz bazowy'!M112</f>
        <v>0</v>
      </c>
      <c r="N112" s="233">
        <f>Opcje!N67-'Scenariusz bazowy'!N112</f>
        <v>0</v>
      </c>
      <c r="O112" s="233">
        <f>Opcje!O67-'Scenariusz bazowy'!O112</f>
        <v>0</v>
      </c>
      <c r="P112" s="233">
        <f>Opcje!P67-'Scenariusz bazowy'!P112</f>
        <v>0</v>
      </c>
      <c r="Q112" s="233">
        <f>Opcje!Q67-'Scenariusz bazowy'!Q112</f>
        <v>0</v>
      </c>
      <c r="R112" s="233">
        <f>Opcje!R67-'Scenariusz bazowy'!R112</f>
        <v>0</v>
      </c>
      <c r="S112" s="233">
        <f>Opcje!S67-'Scenariusz bazowy'!S112</f>
        <v>0</v>
      </c>
      <c r="T112" s="233">
        <f>Opcje!T67-'Scenariusz bazowy'!T112</f>
        <v>0</v>
      </c>
      <c r="U112" s="1"/>
    </row>
    <row r="113" spans="1:35" s="45" customFormat="1" ht="12">
      <c r="A113" s="96" t="s">
        <v>35</v>
      </c>
      <c r="B113" s="112" t="s">
        <v>223</v>
      </c>
      <c r="C113" s="214" t="s">
        <v>0</v>
      </c>
      <c r="D113" s="300">
        <f t="shared" si="51"/>
        <v>1064000</v>
      </c>
      <c r="E113" s="40">
        <f>E114+E116+E115</f>
        <v>0</v>
      </c>
      <c r="F113" s="40">
        <f t="shared" ref="F113:T113" si="53">F114+F116+F115</f>
        <v>0</v>
      </c>
      <c r="G113" s="40">
        <f t="shared" si="53"/>
        <v>0</v>
      </c>
      <c r="H113" s="40">
        <f t="shared" si="53"/>
        <v>0</v>
      </c>
      <c r="I113" s="40">
        <f t="shared" si="53"/>
        <v>0</v>
      </c>
      <c r="J113" s="40">
        <f t="shared" si="53"/>
        <v>0</v>
      </c>
      <c r="K113" s="40">
        <f t="shared" si="53"/>
        <v>0</v>
      </c>
      <c r="L113" s="40">
        <f t="shared" si="53"/>
        <v>0</v>
      </c>
      <c r="M113" s="40">
        <f t="shared" si="53"/>
        <v>0</v>
      </c>
      <c r="N113" s="40">
        <f t="shared" si="53"/>
        <v>0</v>
      </c>
      <c r="O113" s="40">
        <f t="shared" si="53"/>
        <v>0</v>
      </c>
      <c r="P113" s="40">
        <f t="shared" si="53"/>
        <v>0</v>
      </c>
      <c r="Q113" s="40">
        <f t="shared" si="53"/>
        <v>0</v>
      </c>
      <c r="R113" s="40">
        <f t="shared" si="53"/>
        <v>0</v>
      </c>
      <c r="S113" s="40">
        <f t="shared" si="53"/>
        <v>1064000</v>
      </c>
      <c r="T113" s="40">
        <f t="shared" si="53"/>
        <v>0</v>
      </c>
      <c r="U113" s="1"/>
    </row>
    <row r="114" spans="1:35">
      <c r="A114" s="96"/>
      <c r="B114" s="112" t="s">
        <v>221</v>
      </c>
      <c r="C114" s="214" t="s">
        <v>0</v>
      </c>
      <c r="D114" s="300">
        <f t="shared" si="51"/>
        <v>0</v>
      </c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233"/>
      <c r="S114" s="233"/>
      <c r="T114" s="233"/>
      <c r="U114" s="1"/>
    </row>
    <row r="115" spans="1:35">
      <c r="A115" s="96"/>
      <c r="B115" s="112" t="s">
        <v>244</v>
      </c>
      <c r="C115" s="214" t="s">
        <v>0</v>
      </c>
      <c r="D115" s="300">
        <f t="shared" si="51"/>
        <v>1064000</v>
      </c>
      <c r="E115" s="233">
        <f>Opcje!E68-'Scenariusz bazowy'!E116</f>
        <v>0</v>
      </c>
      <c r="F115" s="233">
        <f>Opcje!F68-'Scenariusz bazowy'!F116</f>
        <v>0</v>
      </c>
      <c r="G115" s="233">
        <f>Opcje!G68-'Scenariusz bazowy'!G116</f>
        <v>0</v>
      </c>
      <c r="H115" s="233">
        <f>Opcje!H68-'Scenariusz bazowy'!H116</f>
        <v>0</v>
      </c>
      <c r="I115" s="233">
        <f>Opcje!I68-'Scenariusz bazowy'!I116</f>
        <v>0</v>
      </c>
      <c r="J115" s="233">
        <f>Opcje!J68-'Scenariusz bazowy'!J116</f>
        <v>0</v>
      </c>
      <c r="K115" s="233">
        <f>Opcje!K68-'Scenariusz bazowy'!K116</f>
        <v>0</v>
      </c>
      <c r="L115" s="233">
        <f>Opcje!L68-'Scenariusz bazowy'!L116</f>
        <v>0</v>
      </c>
      <c r="M115" s="233">
        <f>Opcje!M68-'Scenariusz bazowy'!M116</f>
        <v>0</v>
      </c>
      <c r="N115" s="233">
        <f>Opcje!N68-'Scenariusz bazowy'!N116</f>
        <v>0</v>
      </c>
      <c r="O115" s="233">
        <f>Opcje!O68-'Scenariusz bazowy'!O116</f>
        <v>0</v>
      </c>
      <c r="P115" s="233">
        <f>Opcje!P68-'Scenariusz bazowy'!P116</f>
        <v>0</v>
      </c>
      <c r="Q115" s="233">
        <f>Opcje!Q68-'Scenariusz bazowy'!Q116</f>
        <v>0</v>
      </c>
      <c r="R115" s="233">
        <f>Opcje!R68-'Scenariusz bazowy'!R116</f>
        <v>0</v>
      </c>
      <c r="S115" s="233">
        <f>Opcje!S68-'Scenariusz bazowy'!S116</f>
        <v>1064000</v>
      </c>
      <c r="T115" s="233">
        <f>Opcje!T68-'Scenariusz bazowy'!T116</f>
        <v>0</v>
      </c>
      <c r="U115" s="1"/>
    </row>
    <row r="116" spans="1:35" s="45" customFormat="1" ht="12">
      <c r="A116" s="96"/>
      <c r="B116" s="112" t="s">
        <v>222</v>
      </c>
      <c r="C116" s="214" t="s">
        <v>0</v>
      </c>
      <c r="D116" s="300">
        <f t="shared" si="51"/>
        <v>0</v>
      </c>
      <c r="E116" s="233"/>
      <c r="F116" s="233"/>
      <c r="G116" s="233"/>
      <c r="H116" s="233"/>
      <c r="I116" s="233"/>
      <c r="J116" s="233"/>
      <c r="K116" s="233"/>
      <c r="L116" s="233"/>
      <c r="M116" s="233"/>
      <c r="N116" s="233"/>
      <c r="O116" s="233"/>
      <c r="P116" s="233"/>
      <c r="Q116" s="233"/>
      <c r="R116" s="233"/>
      <c r="S116" s="233"/>
      <c r="T116" s="233"/>
      <c r="U116" s="1"/>
    </row>
    <row r="117" spans="1:35">
      <c r="A117" s="1"/>
      <c r="B117" s="100"/>
      <c r="C117" s="84"/>
      <c r="D117" s="96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1"/>
    </row>
    <row r="118" spans="1:35" s="178" customFormat="1" ht="12">
      <c r="A118" s="114"/>
      <c r="B118" s="177"/>
      <c r="C118" s="200"/>
      <c r="D118" s="176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6"/>
    </row>
    <row r="119" spans="1:35" s="6" customFormat="1" ht="12">
      <c r="A119" s="96"/>
      <c r="B119" s="195"/>
      <c r="C119" s="323"/>
      <c r="D119" s="324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</row>
    <row r="120" spans="1:35" s="6" customFormat="1" ht="12">
      <c r="A120" s="96"/>
      <c r="B120" s="195"/>
      <c r="C120" s="323"/>
      <c r="D120" s="324"/>
      <c r="E120" s="325">
        <v>1</v>
      </c>
      <c r="F120" s="325">
        <f>E120+1</f>
        <v>2</v>
      </c>
      <c r="G120" s="325">
        <f t="shared" ref="G120:T121" si="54">F120+1</f>
        <v>3</v>
      </c>
      <c r="H120" s="325">
        <f t="shared" si="54"/>
        <v>4</v>
      </c>
      <c r="I120" s="325">
        <f t="shared" si="54"/>
        <v>5</v>
      </c>
      <c r="J120" s="325">
        <f t="shared" si="54"/>
        <v>6</v>
      </c>
      <c r="K120" s="325">
        <f t="shared" si="54"/>
        <v>7</v>
      </c>
      <c r="L120" s="325">
        <f t="shared" si="54"/>
        <v>8</v>
      </c>
      <c r="M120" s="325">
        <f t="shared" si="54"/>
        <v>9</v>
      </c>
      <c r="N120" s="325">
        <f t="shared" si="54"/>
        <v>10</v>
      </c>
      <c r="O120" s="325">
        <f t="shared" si="54"/>
        <v>11</v>
      </c>
      <c r="P120" s="325">
        <f t="shared" si="54"/>
        <v>12</v>
      </c>
      <c r="Q120" s="325">
        <f t="shared" si="54"/>
        <v>13</v>
      </c>
      <c r="R120" s="325">
        <f t="shared" si="54"/>
        <v>14</v>
      </c>
      <c r="S120" s="325">
        <f t="shared" si="54"/>
        <v>15</v>
      </c>
      <c r="T120" s="325">
        <f t="shared" si="54"/>
        <v>16</v>
      </c>
      <c r="U120" s="326"/>
      <c r="V120" s="231"/>
      <c r="W120" s="231"/>
      <c r="X120" s="231"/>
      <c r="Y120" s="231"/>
      <c r="Z120" s="231"/>
      <c r="AA120" s="231"/>
      <c r="AB120" s="231"/>
      <c r="AC120" s="231"/>
      <c r="AD120" s="231"/>
      <c r="AE120" s="231"/>
      <c r="AF120" s="231"/>
      <c r="AG120" s="231"/>
      <c r="AH120" s="231"/>
      <c r="AI120" s="196"/>
    </row>
    <row r="121" spans="1:35" s="6" customFormat="1">
      <c r="A121" s="269" t="s">
        <v>249</v>
      </c>
      <c r="B121" s="95" t="s">
        <v>389</v>
      </c>
      <c r="C121" s="323"/>
      <c r="D121" s="324"/>
      <c r="E121" s="298">
        <f>T5+1</f>
        <v>2037</v>
      </c>
      <c r="F121" s="298">
        <f>E121+1</f>
        <v>2038</v>
      </c>
      <c r="G121" s="298">
        <f t="shared" si="54"/>
        <v>2039</v>
      </c>
      <c r="H121" s="298">
        <f t="shared" si="54"/>
        <v>2040</v>
      </c>
      <c r="I121" s="298">
        <f t="shared" si="54"/>
        <v>2041</v>
      </c>
      <c r="J121" s="298">
        <f t="shared" si="54"/>
        <v>2042</v>
      </c>
      <c r="K121" s="298">
        <f t="shared" si="54"/>
        <v>2043</v>
      </c>
      <c r="L121" s="298">
        <f t="shared" si="54"/>
        <v>2044</v>
      </c>
      <c r="M121" s="298">
        <f t="shared" si="54"/>
        <v>2045</v>
      </c>
      <c r="N121" s="298">
        <f t="shared" si="54"/>
        <v>2046</v>
      </c>
      <c r="O121" s="298">
        <f t="shared" si="54"/>
        <v>2047</v>
      </c>
      <c r="P121" s="298">
        <f t="shared" si="54"/>
        <v>2048</v>
      </c>
      <c r="Q121" s="298">
        <f t="shared" si="54"/>
        <v>2049</v>
      </c>
      <c r="R121" s="298">
        <f t="shared" si="54"/>
        <v>2050</v>
      </c>
      <c r="S121" s="298">
        <f t="shared" si="54"/>
        <v>2051</v>
      </c>
      <c r="T121" s="298">
        <f t="shared" si="54"/>
        <v>2052</v>
      </c>
      <c r="U121" s="327"/>
      <c r="V121" s="232"/>
      <c r="W121" s="232"/>
      <c r="X121" s="232"/>
      <c r="Y121" s="232"/>
      <c r="Z121" s="232"/>
      <c r="AA121" s="232"/>
      <c r="AB121" s="232"/>
      <c r="AC121" s="232"/>
      <c r="AD121" s="232"/>
      <c r="AE121" s="232"/>
      <c r="AF121" s="232"/>
      <c r="AG121" s="232"/>
      <c r="AH121" s="232"/>
      <c r="AI121" s="184"/>
    </row>
    <row r="122" spans="1:35" s="6" customFormat="1" ht="12">
      <c r="A122" s="96" t="s">
        <v>34</v>
      </c>
      <c r="B122" s="113" t="s">
        <v>174</v>
      </c>
      <c r="C122" s="301" t="s">
        <v>151</v>
      </c>
      <c r="D122" s="328">
        <f>Założenia!$E$6</f>
        <v>2021</v>
      </c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5" s="6" customFormat="1" ht="12">
      <c r="A123" s="96" t="s">
        <v>35</v>
      </c>
      <c r="B123" s="113" t="s">
        <v>175</v>
      </c>
      <c r="C123" s="301" t="s">
        <v>151</v>
      </c>
      <c r="D123" s="328">
        <f>Założenia!$E$8</f>
        <v>2036</v>
      </c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5" s="6" customFormat="1" ht="12">
      <c r="A124" s="96" t="s">
        <v>30</v>
      </c>
      <c r="B124" s="113" t="s">
        <v>4</v>
      </c>
      <c r="C124" s="301" t="s">
        <v>28</v>
      </c>
      <c r="D124" s="300">
        <f>Założenia!$E$9</f>
        <v>15</v>
      </c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5" s="6" customFormat="1" ht="12">
      <c r="A125" s="96" t="s">
        <v>36</v>
      </c>
      <c r="B125" s="167" t="s">
        <v>177</v>
      </c>
      <c r="C125" s="301" t="s">
        <v>28</v>
      </c>
      <c r="D125" s="302">
        <f>D157</f>
        <v>12</v>
      </c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5" s="6" customFormat="1" ht="12">
      <c r="A126" s="96" t="s">
        <v>37</v>
      </c>
      <c r="B126" s="167" t="s">
        <v>178</v>
      </c>
      <c r="C126" s="301" t="s">
        <v>0</v>
      </c>
      <c r="D126" s="302"/>
      <c r="E126" s="23">
        <f>IF(E157&gt;0,(-$T$136-AVERAGE($E$140:$T$140)),0)</f>
        <v>716506.48765525222</v>
      </c>
      <c r="F126" s="23">
        <f t="shared" ref="F126:T126" si="55">IF(F157&gt;0,(-$T$136-AVERAGE($E$140:$T$140)),0)</f>
        <v>716506.48765525222</v>
      </c>
      <c r="G126" s="23">
        <f t="shared" si="55"/>
        <v>716506.48765525222</v>
      </c>
      <c r="H126" s="23">
        <f t="shared" si="55"/>
        <v>716506.48765525222</v>
      </c>
      <c r="I126" s="23">
        <f t="shared" si="55"/>
        <v>716506.48765525222</v>
      </c>
      <c r="J126" s="23">
        <f t="shared" si="55"/>
        <v>716506.48765525222</v>
      </c>
      <c r="K126" s="23">
        <f t="shared" si="55"/>
        <v>716506.48765525222</v>
      </c>
      <c r="L126" s="23">
        <f t="shared" si="55"/>
        <v>716506.48765525222</v>
      </c>
      <c r="M126" s="23">
        <f t="shared" si="55"/>
        <v>716506.48765525222</v>
      </c>
      <c r="N126" s="23">
        <f t="shared" si="55"/>
        <v>716506.48765525222</v>
      </c>
      <c r="O126" s="23">
        <f t="shared" si="55"/>
        <v>716506.48765525222</v>
      </c>
      <c r="P126" s="23">
        <f t="shared" si="55"/>
        <v>716506.48765525222</v>
      </c>
      <c r="Q126" s="23">
        <f t="shared" si="55"/>
        <v>0</v>
      </c>
      <c r="R126" s="23">
        <f t="shared" si="55"/>
        <v>0</v>
      </c>
      <c r="S126" s="23">
        <f t="shared" si="55"/>
        <v>0</v>
      </c>
      <c r="T126" s="23">
        <f t="shared" si="55"/>
        <v>0</v>
      </c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</row>
    <row r="127" spans="1:35" s="6" customFormat="1" ht="12">
      <c r="A127" s="96" t="s">
        <v>38</v>
      </c>
      <c r="B127" s="167" t="s">
        <v>179</v>
      </c>
      <c r="C127" s="301" t="s">
        <v>0</v>
      </c>
      <c r="D127" s="302"/>
      <c r="E127" s="23">
        <f>E126/(1+Założenia!$E$16)^E120</f>
        <v>688948.54582235788</v>
      </c>
      <c r="F127" s="23">
        <f>F126/(1+Założenia!$E$16)^F120</f>
        <v>662450.52482919022</v>
      </c>
      <c r="G127" s="23">
        <f>G126/(1+Założenia!$E$16)^G120</f>
        <v>636971.65848960599</v>
      </c>
      <c r="H127" s="23">
        <f>H126/(1+Założenia!$E$16)^H120</f>
        <v>612472.74854769802</v>
      </c>
      <c r="I127" s="23">
        <f>I126/(1+Założenia!$E$16)^I120</f>
        <v>588916.10437278647</v>
      </c>
      <c r="J127" s="23">
        <f>J126/(1+Założenia!$E$16)^J120</f>
        <v>566265.4849738332</v>
      </c>
      <c r="K127" s="23">
        <f>K126/(1+Założenia!$E$16)^K120</f>
        <v>544486.04324407037</v>
      </c>
      <c r="L127" s="23">
        <f>L126/(1+Założenia!$E$16)^L120</f>
        <v>523544.27235006762</v>
      </c>
      <c r="M127" s="23">
        <f>M126/(1+Założenia!$E$16)^M120</f>
        <v>503407.95418275724</v>
      </c>
      <c r="N127" s="23">
        <f>N126/(1+Założenia!$E$16)^N120</f>
        <v>484046.10979111277</v>
      </c>
      <c r="O127" s="23">
        <f>O126/(1+Założenia!$E$16)^O120</f>
        <v>465428.95172222384</v>
      </c>
      <c r="P127" s="23">
        <f>P126/(1+Założenia!$E$16)^P120</f>
        <v>447527.83819444588</v>
      </c>
      <c r="Q127" s="23">
        <f>Q126/(1+Założenia!$E$16)^Q120</f>
        <v>0</v>
      </c>
      <c r="R127" s="23">
        <f>R126/(1+Założenia!$E$16)^R120</f>
        <v>0</v>
      </c>
      <c r="S127" s="23">
        <f>S126/(1+Założenia!$E$16)^S120</f>
        <v>0</v>
      </c>
      <c r="T127" s="23">
        <f>T126/(1+Założenia!$E$16)^T120</f>
        <v>0</v>
      </c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</row>
    <row r="128" spans="1:35" s="6" customFormat="1" ht="12">
      <c r="A128" s="96" t="s">
        <v>39</v>
      </c>
      <c r="B128" s="167" t="s">
        <v>180</v>
      </c>
      <c r="C128" s="301" t="s">
        <v>0</v>
      </c>
      <c r="D128" s="302">
        <f>SUM(E127:AH127)</f>
        <v>6724466.2365201488</v>
      </c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</row>
    <row r="129" spans="1:21" s="30" customFormat="1">
      <c r="A129" s="33"/>
      <c r="B129" s="329"/>
      <c r="C129" s="330"/>
      <c r="D129" s="330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33"/>
    </row>
    <row r="130" spans="1:21" s="30" customFormat="1">
      <c r="A130" s="33"/>
      <c r="B130" s="329"/>
      <c r="C130" s="330"/>
      <c r="D130" s="330"/>
      <c r="E130" s="103"/>
      <c r="F130" s="103"/>
      <c r="G130" s="103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33"/>
    </row>
    <row r="131" spans="1:21" s="1" customFormat="1" ht="12">
      <c r="A131" s="269" t="s">
        <v>250</v>
      </c>
      <c r="B131" s="95" t="s">
        <v>224</v>
      </c>
      <c r="E131" s="325">
        <v>0</v>
      </c>
      <c r="F131" s="325">
        <f>E131+1</f>
        <v>1</v>
      </c>
      <c r="G131" s="325">
        <f t="shared" ref="G131:T131" si="56">F131+1</f>
        <v>2</v>
      </c>
      <c r="H131" s="325">
        <f t="shared" si="56"/>
        <v>3</v>
      </c>
      <c r="I131" s="325">
        <f t="shared" si="56"/>
        <v>4</v>
      </c>
      <c r="J131" s="325">
        <f t="shared" si="56"/>
        <v>5</v>
      </c>
      <c r="K131" s="325">
        <f t="shared" si="56"/>
        <v>6</v>
      </c>
      <c r="L131" s="325">
        <f t="shared" si="56"/>
        <v>7</v>
      </c>
      <c r="M131" s="325">
        <f t="shared" si="56"/>
        <v>8</v>
      </c>
      <c r="N131" s="325">
        <f t="shared" si="56"/>
        <v>9</v>
      </c>
      <c r="O131" s="325">
        <f t="shared" si="56"/>
        <v>10</v>
      </c>
      <c r="P131" s="325">
        <f t="shared" si="56"/>
        <v>11</v>
      </c>
      <c r="Q131" s="325">
        <f t="shared" si="56"/>
        <v>12</v>
      </c>
      <c r="R131" s="325">
        <f t="shared" si="56"/>
        <v>13</v>
      </c>
      <c r="S131" s="325">
        <f t="shared" si="56"/>
        <v>14</v>
      </c>
      <c r="T131" s="325">
        <f t="shared" si="56"/>
        <v>15</v>
      </c>
    </row>
    <row r="132" spans="1:21" s="26" customFormat="1">
      <c r="A132" s="108" t="s">
        <v>34</v>
      </c>
      <c r="B132" s="118" t="s">
        <v>85</v>
      </c>
      <c r="C132" s="301" t="s">
        <v>0</v>
      </c>
      <c r="D132" s="301"/>
      <c r="E132" s="102">
        <f>E133+E134</f>
        <v>0</v>
      </c>
      <c r="F132" s="102">
        <f t="shared" ref="F132:T132" si="57">F133+F134</f>
        <v>0</v>
      </c>
      <c r="G132" s="102">
        <f t="shared" si="57"/>
        <v>0</v>
      </c>
      <c r="H132" s="102">
        <f t="shared" si="57"/>
        <v>0</v>
      </c>
      <c r="I132" s="102">
        <f t="shared" si="57"/>
        <v>0</v>
      </c>
      <c r="J132" s="102">
        <f t="shared" si="57"/>
        <v>0</v>
      </c>
      <c r="K132" s="102">
        <f t="shared" si="57"/>
        <v>0</v>
      </c>
      <c r="L132" s="102">
        <f t="shared" si="57"/>
        <v>0</v>
      </c>
      <c r="M132" s="102">
        <f t="shared" si="57"/>
        <v>0</v>
      </c>
      <c r="N132" s="102">
        <f t="shared" si="57"/>
        <v>0</v>
      </c>
      <c r="O132" s="102">
        <f t="shared" si="57"/>
        <v>0</v>
      </c>
      <c r="P132" s="102">
        <f t="shared" si="57"/>
        <v>0</v>
      </c>
      <c r="Q132" s="102">
        <f t="shared" si="57"/>
        <v>0</v>
      </c>
      <c r="R132" s="102">
        <f t="shared" si="57"/>
        <v>0</v>
      </c>
      <c r="S132" s="102">
        <f t="shared" si="57"/>
        <v>0</v>
      </c>
      <c r="T132" s="102">
        <f t="shared" si="57"/>
        <v>6724466.2365201488</v>
      </c>
      <c r="U132" s="13"/>
    </row>
    <row r="133" spans="1:21" s="26" customFormat="1">
      <c r="A133" s="96" t="s">
        <v>43</v>
      </c>
      <c r="B133" s="111" t="s">
        <v>300</v>
      </c>
      <c r="C133" s="214" t="s">
        <v>0</v>
      </c>
      <c r="D133" s="301"/>
      <c r="E133" s="102">
        <f>E9-'Scenariusz bazowy'!E9</f>
        <v>0</v>
      </c>
      <c r="F133" s="102">
        <f>F9-'Scenariusz bazowy'!F9</f>
        <v>0</v>
      </c>
      <c r="G133" s="102">
        <f>G9-'Scenariusz bazowy'!G9</f>
        <v>0</v>
      </c>
      <c r="H133" s="102">
        <f>H9-'Scenariusz bazowy'!H9</f>
        <v>0</v>
      </c>
      <c r="I133" s="102">
        <f>I9-'Scenariusz bazowy'!I9</f>
        <v>0</v>
      </c>
      <c r="J133" s="102">
        <f>J9-'Scenariusz bazowy'!J9</f>
        <v>0</v>
      </c>
      <c r="K133" s="102">
        <f>K9-'Scenariusz bazowy'!K9</f>
        <v>0</v>
      </c>
      <c r="L133" s="102">
        <f>L9-'Scenariusz bazowy'!L9</f>
        <v>0</v>
      </c>
      <c r="M133" s="102">
        <f>M9-'Scenariusz bazowy'!M9</f>
        <v>0</v>
      </c>
      <c r="N133" s="102">
        <f>N9-'Scenariusz bazowy'!N9</f>
        <v>0</v>
      </c>
      <c r="O133" s="102">
        <f>O9-'Scenariusz bazowy'!O9</f>
        <v>0</v>
      </c>
      <c r="P133" s="102">
        <f>P9-'Scenariusz bazowy'!P9</f>
        <v>0</v>
      </c>
      <c r="Q133" s="102">
        <f>Q9-'Scenariusz bazowy'!Q9</f>
        <v>0</v>
      </c>
      <c r="R133" s="102">
        <f>R9-'Scenariusz bazowy'!R9</f>
        <v>0</v>
      </c>
      <c r="S133" s="102">
        <f>S9-'Scenariusz bazowy'!S9</f>
        <v>0</v>
      </c>
      <c r="T133" s="102">
        <f>T9-'Scenariusz bazowy'!T9</f>
        <v>0</v>
      </c>
      <c r="U133" s="13"/>
    </row>
    <row r="134" spans="1:21" s="1" customFormat="1" ht="12">
      <c r="A134" s="96" t="s">
        <v>44</v>
      </c>
      <c r="B134" s="111" t="s">
        <v>278</v>
      </c>
      <c r="C134" s="214" t="s">
        <v>0</v>
      </c>
      <c r="D134" s="214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>
        <f>IF(D128&gt;0,D128,0)</f>
        <v>6724466.2365201488</v>
      </c>
    </row>
    <row r="135" spans="1:21" s="13" customFormat="1" ht="12">
      <c r="A135" s="108" t="s">
        <v>35</v>
      </c>
      <c r="B135" s="118" t="s">
        <v>86</v>
      </c>
      <c r="C135" s="301" t="s">
        <v>0</v>
      </c>
      <c r="D135" s="301"/>
      <c r="E135" s="22">
        <f>E136+E137+E140</f>
        <v>0</v>
      </c>
      <c r="F135" s="22">
        <f t="shared" ref="F135:T135" si="58">F136+F137+F140</f>
        <v>-539.30439878627658</v>
      </c>
      <c r="G135" s="22">
        <f t="shared" si="58"/>
        <v>-549.91124470904469</v>
      </c>
      <c r="H135" s="22">
        <f t="shared" si="58"/>
        <v>-560.51809063181281</v>
      </c>
      <c r="I135" s="22">
        <f t="shared" si="58"/>
        <v>-571.12493655830622</v>
      </c>
      <c r="J135" s="22">
        <f t="shared" si="58"/>
        <v>-581.73178248107433</v>
      </c>
      <c r="K135" s="22">
        <f t="shared" si="58"/>
        <v>43439721.69225426</v>
      </c>
      <c r="L135" s="22">
        <f t="shared" si="58"/>
        <v>-786096.75915523991</v>
      </c>
      <c r="M135" s="22">
        <f t="shared" si="58"/>
        <v>-799675.01445513219</v>
      </c>
      <c r="N135" s="22">
        <f t="shared" si="58"/>
        <v>-813253.26975502819</v>
      </c>
      <c r="O135" s="22">
        <f t="shared" si="58"/>
        <v>-826831.52505491674</v>
      </c>
      <c r="P135" s="22">
        <f t="shared" si="58"/>
        <v>-840409.78035481274</v>
      </c>
      <c r="Q135" s="22">
        <f t="shared" si="58"/>
        <v>-12553988.035654705</v>
      </c>
      <c r="R135" s="22">
        <f t="shared" si="58"/>
        <v>-485955.61370362341</v>
      </c>
      <c r="S135" s="22">
        <f t="shared" si="58"/>
        <v>21704466.130996484</v>
      </c>
      <c r="T135" s="22">
        <f t="shared" si="58"/>
        <v>-783006.48765525222</v>
      </c>
    </row>
    <row r="136" spans="1:21" s="1" customFormat="1" ht="12">
      <c r="A136" s="96" t="s">
        <v>49</v>
      </c>
      <c r="B136" s="111" t="s">
        <v>279</v>
      </c>
      <c r="C136" s="214" t="s">
        <v>0</v>
      </c>
      <c r="D136" s="214"/>
      <c r="E136" s="23">
        <f>E10-'Scenariusz bazowy'!E10</f>
        <v>0</v>
      </c>
      <c r="F136" s="23">
        <f>F10-'Scenariusz bazowy'!F10</f>
        <v>-539.30439878627658</v>
      </c>
      <c r="G136" s="23">
        <f>G10-'Scenariusz bazowy'!G10</f>
        <v>-549.91124470904469</v>
      </c>
      <c r="H136" s="23">
        <f>H10-'Scenariusz bazowy'!H10</f>
        <v>-560.51809063181281</v>
      </c>
      <c r="I136" s="23">
        <f>I10-'Scenariusz bazowy'!I10</f>
        <v>-571.12493655830622</v>
      </c>
      <c r="J136" s="23">
        <f>J10-'Scenariusz bazowy'!J10</f>
        <v>-581.73178248107433</v>
      </c>
      <c r="K136" s="23">
        <f>K10-'Scenariusz bazowy'!K10</f>
        <v>-170278.30774573609</v>
      </c>
      <c r="L136" s="23">
        <f>L10-'Scenariusz bazowy'!L10</f>
        <v>-786096.75915523991</v>
      </c>
      <c r="M136" s="23">
        <f>M10-'Scenariusz bazowy'!M10</f>
        <v>-799675.01445513219</v>
      </c>
      <c r="N136" s="23">
        <f>N10-'Scenariusz bazowy'!N10</f>
        <v>-813253.26975502819</v>
      </c>
      <c r="O136" s="23">
        <f>O10-'Scenariusz bazowy'!O10</f>
        <v>-826831.52505491674</v>
      </c>
      <c r="P136" s="23">
        <f>P10-'Scenariusz bazowy'!P10</f>
        <v>-840409.78035481274</v>
      </c>
      <c r="Q136" s="23">
        <f>Q10-'Scenariusz bazowy'!Q10</f>
        <v>-853988.03565470502</v>
      </c>
      <c r="R136" s="23">
        <f>R10-'Scenariusz bazowy'!R10</f>
        <v>-485955.61370362341</v>
      </c>
      <c r="S136" s="23">
        <f>S10-'Scenariusz bazowy'!S10</f>
        <v>-499533.86900351569</v>
      </c>
      <c r="T136" s="23">
        <f>T10-'Scenariusz bazowy'!T10</f>
        <v>-783006.48765525222</v>
      </c>
    </row>
    <row r="137" spans="1:21" s="1" customFormat="1" ht="12">
      <c r="A137" s="96" t="s">
        <v>50</v>
      </c>
      <c r="B137" s="111" t="s">
        <v>280</v>
      </c>
      <c r="C137" s="214" t="s">
        <v>0</v>
      </c>
      <c r="D137" s="214"/>
      <c r="E137" s="23">
        <f>E138+E139</f>
        <v>0</v>
      </c>
      <c r="F137" s="23">
        <f t="shared" ref="F137:T137" si="59">F138+F139</f>
        <v>0</v>
      </c>
      <c r="G137" s="23">
        <f t="shared" si="59"/>
        <v>0</v>
      </c>
      <c r="H137" s="23">
        <f t="shared" si="59"/>
        <v>0</v>
      </c>
      <c r="I137" s="23">
        <f t="shared" si="59"/>
        <v>0</v>
      </c>
      <c r="J137" s="23">
        <f t="shared" si="59"/>
        <v>0</v>
      </c>
      <c r="K137" s="23">
        <f t="shared" si="59"/>
        <v>43610000</v>
      </c>
      <c r="L137" s="23">
        <f t="shared" si="59"/>
        <v>0</v>
      </c>
      <c r="M137" s="23">
        <f t="shared" si="59"/>
        <v>0</v>
      </c>
      <c r="N137" s="23">
        <f t="shared" si="59"/>
        <v>0</v>
      </c>
      <c r="O137" s="23">
        <f t="shared" si="59"/>
        <v>0</v>
      </c>
      <c r="P137" s="23">
        <f t="shared" si="59"/>
        <v>0</v>
      </c>
      <c r="Q137" s="23">
        <f t="shared" si="59"/>
        <v>-11700000</v>
      </c>
      <c r="R137" s="23">
        <f t="shared" si="59"/>
        <v>0</v>
      </c>
      <c r="S137" s="23">
        <f t="shared" si="59"/>
        <v>21140000</v>
      </c>
      <c r="T137" s="23">
        <f t="shared" si="59"/>
        <v>0</v>
      </c>
    </row>
    <row r="138" spans="1:21" s="1" customFormat="1" ht="12">
      <c r="A138" s="96" t="s">
        <v>54</v>
      </c>
      <c r="B138" s="111" t="s">
        <v>281</v>
      </c>
      <c r="C138" s="214" t="s">
        <v>0</v>
      </c>
      <c r="D138" s="214"/>
      <c r="E138" s="23">
        <f t="shared" ref="E138:T140" si="60">E111</f>
        <v>0</v>
      </c>
      <c r="F138" s="23">
        <f t="shared" si="60"/>
        <v>0</v>
      </c>
      <c r="G138" s="23">
        <f t="shared" si="60"/>
        <v>0</v>
      </c>
      <c r="H138" s="23">
        <f t="shared" si="60"/>
        <v>0</v>
      </c>
      <c r="I138" s="23">
        <f t="shared" si="60"/>
        <v>0</v>
      </c>
      <c r="J138" s="23">
        <f t="shared" si="60"/>
        <v>0</v>
      </c>
      <c r="K138" s="23">
        <f t="shared" si="60"/>
        <v>39960000</v>
      </c>
      <c r="L138" s="23">
        <f t="shared" si="60"/>
        <v>0</v>
      </c>
      <c r="M138" s="23">
        <f t="shared" si="60"/>
        <v>0</v>
      </c>
      <c r="N138" s="23">
        <f t="shared" si="60"/>
        <v>0</v>
      </c>
      <c r="O138" s="23">
        <f t="shared" si="60"/>
        <v>0</v>
      </c>
      <c r="P138" s="23">
        <f t="shared" si="60"/>
        <v>0</v>
      </c>
      <c r="Q138" s="23">
        <f t="shared" si="60"/>
        <v>-11700000</v>
      </c>
      <c r="R138" s="23">
        <f t="shared" si="60"/>
        <v>0</v>
      </c>
      <c r="S138" s="23">
        <f t="shared" si="60"/>
        <v>21140000</v>
      </c>
      <c r="T138" s="23">
        <f t="shared" si="60"/>
        <v>0</v>
      </c>
    </row>
    <row r="139" spans="1:21" s="1" customFormat="1" ht="12">
      <c r="A139" s="96" t="s">
        <v>55</v>
      </c>
      <c r="B139" s="111" t="s">
        <v>282</v>
      </c>
      <c r="C139" s="214" t="s">
        <v>0</v>
      </c>
      <c r="D139" s="214"/>
      <c r="E139" s="23">
        <f t="shared" si="60"/>
        <v>0</v>
      </c>
      <c r="F139" s="23">
        <f t="shared" si="60"/>
        <v>0</v>
      </c>
      <c r="G139" s="23">
        <f t="shared" si="60"/>
        <v>0</v>
      </c>
      <c r="H139" s="23">
        <f t="shared" si="60"/>
        <v>0</v>
      </c>
      <c r="I139" s="23">
        <f t="shared" si="60"/>
        <v>0</v>
      </c>
      <c r="J139" s="23">
        <f t="shared" si="60"/>
        <v>0</v>
      </c>
      <c r="K139" s="23">
        <f t="shared" si="60"/>
        <v>3650000</v>
      </c>
      <c r="L139" s="23">
        <f t="shared" si="60"/>
        <v>0</v>
      </c>
      <c r="M139" s="23">
        <f t="shared" si="60"/>
        <v>0</v>
      </c>
      <c r="N139" s="23">
        <f t="shared" si="60"/>
        <v>0</v>
      </c>
      <c r="O139" s="23">
        <f t="shared" si="60"/>
        <v>0</v>
      </c>
      <c r="P139" s="23">
        <f t="shared" si="60"/>
        <v>0</v>
      </c>
      <c r="Q139" s="23">
        <f t="shared" si="60"/>
        <v>0</v>
      </c>
      <c r="R139" s="23">
        <f t="shared" si="60"/>
        <v>0</v>
      </c>
      <c r="S139" s="23">
        <f t="shared" si="60"/>
        <v>0</v>
      </c>
      <c r="T139" s="23">
        <f t="shared" si="60"/>
        <v>0</v>
      </c>
    </row>
    <row r="140" spans="1:21" s="1" customFormat="1" ht="12">
      <c r="A140" s="96" t="s">
        <v>61</v>
      </c>
      <c r="B140" s="111" t="s">
        <v>283</v>
      </c>
      <c r="C140" s="214" t="s">
        <v>0</v>
      </c>
      <c r="D140" s="214"/>
      <c r="E140" s="23">
        <f t="shared" si="60"/>
        <v>0</v>
      </c>
      <c r="F140" s="23">
        <f t="shared" si="60"/>
        <v>0</v>
      </c>
      <c r="G140" s="23">
        <f t="shared" si="60"/>
        <v>0</v>
      </c>
      <c r="H140" s="23">
        <f t="shared" si="60"/>
        <v>0</v>
      </c>
      <c r="I140" s="23">
        <f t="shared" si="60"/>
        <v>0</v>
      </c>
      <c r="J140" s="23">
        <f t="shared" si="60"/>
        <v>0</v>
      </c>
      <c r="K140" s="23">
        <f t="shared" si="60"/>
        <v>0</v>
      </c>
      <c r="L140" s="23">
        <f t="shared" si="60"/>
        <v>0</v>
      </c>
      <c r="M140" s="23">
        <f t="shared" si="60"/>
        <v>0</v>
      </c>
      <c r="N140" s="23">
        <f t="shared" si="60"/>
        <v>0</v>
      </c>
      <c r="O140" s="23">
        <f t="shared" si="60"/>
        <v>0</v>
      </c>
      <c r="P140" s="23">
        <f t="shared" si="60"/>
        <v>0</v>
      </c>
      <c r="Q140" s="23">
        <f t="shared" si="60"/>
        <v>0</v>
      </c>
      <c r="R140" s="23">
        <f t="shared" si="60"/>
        <v>0</v>
      </c>
      <c r="S140" s="23">
        <f t="shared" si="60"/>
        <v>1064000</v>
      </c>
      <c r="T140" s="23">
        <f t="shared" si="60"/>
        <v>0</v>
      </c>
    </row>
    <row r="141" spans="1:21" s="13" customFormat="1" ht="12">
      <c r="A141" s="108" t="s">
        <v>30</v>
      </c>
      <c r="B141" s="118" t="s">
        <v>87</v>
      </c>
      <c r="C141" s="301" t="s">
        <v>0</v>
      </c>
      <c r="D141" s="301"/>
      <c r="E141" s="22">
        <f t="shared" ref="E141:T141" si="61">E132-E135</f>
        <v>0</v>
      </c>
      <c r="F141" s="22">
        <f t="shared" si="61"/>
        <v>539.30439878627658</v>
      </c>
      <c r="G141" s="22">
        <f t="shared" si="61"/>
        <v>549.91124470904469</v>
      </c>
      <c r="H141" s="22">
        <f t="shared" si="61"/>
        <v>560.51809063181281</v>
      </c>
      <c r="I141" s="22">
        <f t="shared" si="61"/>
        <v>571.12493655830622</v>
      </c>
      <c r="J141" s="22">
        <f t="shared" si="61"/>
        <v>581.73178248107433</v>
      </c>
      <c r="K141" s="22">
        <f t="shared" si="61"/>
        <v>-43439721.69225426</v>
      </c>
      <c r="L141" s="22">
        <f t="shared" si="61"/>
        <v>786096.75915523991</v>
      </c>
      <c r="M141" s="22">
        <f t="shared" si="61"/>
        <v>799675.01445513219</v>
      </c>
      <c r="N141" s="22">
        <f t="shared" si="61"/>
        <v>813253.26975502819</v>
      </c>
      <c r="O141" s="22">
        <f t="shared" si="61"/>
        <v>826831.52505491674</v>
      </c>
      <c r="P141" s="22">
        <f t="shared" si="61"/>
        <v>840409.78035481274</v>
      </c>
      <c r="Q141" s="22">
        <f t="shared" si="61"/>
        <v>12553988.035654705</v>
      </c>
      <c r="R141" s="22">
        <f t="shared" si="61"/>
        <v>485955.61370362341</v>
      </c>
      <c r="S141" s="22">
        <f t="shared" si="61"/>
        <v>-21704466.130996484</v>
      </c>
      <c r="T141" s="22">
        <f t="shared" si="61"/>
        <v>7507472.724175401</v>
      </c>
    </row>
    <row r="142" spans="1:21" s="1" customFormat="1" ht="12">
      <c r="A142" s="96" t="s">
        <v>31</v>
      </c>
      <c r="B142" s="111" t="s">
        <v>88</v>
      </c>
      <c r="C142" s="214" t="s">
        <v>90</v>
      </c>
      <c r="D142" s="214"/>
      <c r="E142" s="34">
        <v>1</v>
      </c>
      <c r="F142" s="34">
        <f t="shared" ref="F142:T142" si="62">(1/(1+F143)^F131)</f>
        <v>0.96153846153846145</v>
      </c>
      <c r="G142" s="34">
        <f t="shared" si="62"/>
        <v>0.92455621301775137</v>
      </c>
      <c r="H142" s="34">
        <f t="shared" si="62"/>
        <v>0.88899635867091487</v>
      </c>
      <c r="I142" s="34">
        <f t="shared" si="62"/>
        <v>0.85480419102972571</v>
      </c>
      <c r="J142" s="34">
        <f t="shared" si="62"/>
        <v>0.82192710675935154</v>
      </c>
      <c r="K142" s="34">
        <f t="shared" si="62"/>
        <v>0.79031452573014571</v>
      </c>
      <c r="L142" s="34">
        <f t="shared" si="62"/>
        <v>0.75991781320206331</v>
      </c>
      <c r="M142" s="34">
        <f t="shared" si="62"/>
        <v>0.73069020500198378</v>
      </c>
      <c r="N142" s="34">
        <f t="shared" si="62"/>
        <v>0.70258673557883045</v>
      </c>
      <c r="O142" s="34">
        <f t="shared" si="62"/>
        <v>0.67556416882579851</v>
      </c>
      <c r="P142" s="34">
        <f t="shared" si="62"/>
        <v>0.6495809315632679</v>
      </c>
      <c r="Q142" s="34">
        <f t="shared" si="62"/>
        <v>0.62459704958006512</v>
      </c>
      <c r="R142" s="34">
        <f t="shared" si="62"/>
        <v>0.600574086134678</v>
      </c>
      <c r="S142" s="34">
        <f t="shared" si="62"/>
        <v>0.57747508282180582</v>
      </c>
      <c r="T142" s="34">
        <f t="shared" si="62"/>
        <v>0.55526450271327477</v>
      </c>
    </row>
    <row r="143" spans="1:21" s="1" customFormat="1" ht="12">
      <c r="A143" s="96" t="s">
        <v>89</v>
      </c>
      <c r="B143" s="111" t="s">
        <v>5</v>
      </c>
      <c r="C143" s="214" t="s">
        <v>1</v>
      </c>
      <c r="D143" s="214"/>
      <c r="E143" s="35">
        <f>Założenia!E16</f>
        <v>0.04</v>
      </c>
      <c r="F143" s="35">
        <f>Założenia!F16</f>
        <v>0.04</v>
      </c>
      <c r="G143" s="35">
        <f>Założenia!G16</f>
        <v>0.04</v>
      </c>
      <c r="H143" s="35">
        <f>Założenia!H16</f>
        <v>0.04</v>
      </c>
      <c r="I143" s="35">
        <f>Założenia!I16</f>
        <v>0.04</v>
      </c>
      <c r="J143" s="35">
        <f>Założenia!J16</f>
        <v>0.04</v>
      </c>
      <c r="K143" s="35">
        <f>Założenia!G16</f>
        <v>0.04</v>
      </c>
      <c r="L143" s="35">
        <f>Założenia!L16</f>
        <v>0.04</v>
      </c>
      <c r="M143" s="35">
        <f>Założenia!M16</f>
        <v>0.04</v>
      </c>
      <c r="N143" s="35">
        <f>Założenia!N16</f>
        <v>0.04</v>
      </c>
      <c r="O143" s="35">
        <f>Założenia!O16</f>
        <v>0.04</v>
      </c>
      <c r="P143" s="35">
        <f>Założenia!P16</f>
        <v>0.04</v>
      </c>
      <c r="Q143" s="35">
        <f>Założenia!Q16</f>
        <v>0.04</v>
      </c>
      <c r="R143" s="35">
        <f>Założenia!R16</f>
        <v>0.04</v>
      </c>
      <c r="S143" s="35">
        <f>Założenia!S16</f>
        <v>0.04</v>
      </c>
      <c r="T143" s="35">
        <f>Założenia!T16</f>
        <v>0.04</v>
      </c>
    </row>
    <row r="144" spans="1:21" s="13" customFormat="1" ht="12">
      <c r="A144" s="108" t="s">
        <v>32</v>
      </c>
      <c r="B144" s="118" t="s">
        <v>179</v>
      </c>
      <c r="C144" s="301" t="s">
        <v>0</v>
      </c>
      <c r="D144" s="301"/>
      <c r="E144" s="116">
        <f>E141*E142</f>
        <v>0</v>
      </c>
      <c r="F144" s="116">
        <f t="shared" ref="F144:T144" si="63">F141*F142</f>
        <v>518.56192190988133</v>
      </c>
      <c r="G144" s="116">
        <f t="shared" si="63"/>
        <v>508.42385790407235</v>
      </c>
      <c r="H144" s="116">
        <f t="shared" si="63"/>
        <v>498.29854154085541</v>
      </c>
      <c r="I144" s="116">
        <f t="shared" si="63"/>
        <v>488.19998937162637</v>
      </c>
      <c r="J144" s="116">
        <f t="shared" si="63"/>
        <v>478.14112088462986</v>
      </c>
      <c r="K144" s="116">
        <f t="shared" si="63"/>
        <v>-34331043.047063448</v>
      </c>
      <c r="L144" s="116">
        <f t="shared" si="63"/>
        <v>597368.93018247897</v>
      </c>
      <c r="M144" s="116">
        <f t="shared" si="63"/>
        <v>584314.70024718484</v>
      </c>
      <c r="N144" s="116">
        <f t="shared" si="63"/>
        <v>571380.95999599528</v>
      </c>
      <c r="O144" s="116">
        <f t="shared" si="63"/>
        <v>558577.75198269216</v>
      </c>
      <c r="P144" s="116">
        <f t="shared" si="63"/>
        <v>545914.16801776062</v>
      </c>
      <c r="Q144" s="116">
        <f t="shared" si="63"/>
        <v>7841183.8875333657</v>
      </c>
      <c r="R144" s="116">
        <f t="shared" si="63"/>
        <v>291852.34860207024</v>
      </c>
      <c r="S144" s="116">
        <f t="shared" si="63"/>
        <v>-12533788.376600275</v>
      </c>
      <c r="T144" s="116">
        <f t="shared" si="63"/>
        <v>4168633.108822728</v>
      </c>
    </row>
    <row r="145" spans="1:35" s="32" customFormat="1" ht="12">
      <c r="A145" s="108" t="s">
        <v>36</v>
      </c>
      <c r="B145" s="117" t="s">
        <v>83</v>
      </c>
      <c r="C145" s="214" t="s">
        <v>0</v>
      </c>
      <c r="D145" s="214"/>
      <c r="E145" s="331">
        <f>SUM(E144:T144)</f>
        <v>-31703113.942847829</v>
      </c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3"/>
    </row>
    <row r="146" spans="1:35" s="32" customFormat="1" ht="12">
      <c r="A146" s="108" t="s">
        <v>37</v>
      </c>
      <c r="B146" s="117" t="s">
        <v>84</v>
      </c>
      <c r="C146" s="214" t="s">
        <v>1</v>
      </c>
      <c r="D146" s="214"/>
      <c r="E146" s="332">
        <f>IFERROR(IRR(E141:T141),"nie istnieje")</f>
        <v>8.3540214698098669</v>
      </c>
      <c r="F146" s="19"/>
      <c r="G146" s="333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3"/>
    </row>
    <row r="147" spans="1:35" s="123" customFormat="1" ht="12">
      <c r="A147" s="46"/>
      <c r="B147" s="122"/>
      <c r="C147" s="200"/>
      <c r="D147" s="200"/>
      <c r="E147" s="334"/>
      <c r="F147" s="211"/>
      <c r="G147" s="333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64"/>
    </row>
    <row r="148" spans="1:35" s="6" customFormat="1" ht="12">
      <c r="A148" s="96"/>
      <c r="B148" s="195"/>
      <c r="C148" s="323"/>
      <c r="D148" s="324"/>
      <c r="E148" s="325">
        <v>1</v>
      </c>
      <c r="F148" s="325">
        <f>E148+1</f>
        <v>2</v>
      </c>
      <c r="G148" s="325">
        <f t="shared" ref="G148:U149" si="64">F148+1</f>
        <v>3</v>
      </c>
      <c r="H148" s="325">
        <f t="shared" si="64"/>
        <v>4</v>
      </c>
      <c r="I148" s="325">
        <f t="shared" si="64"/>
        <v>5</v>
      </c>
      <c r="J148" s="325">
        <f t="shared" si="64"/>
        <v>6</v>
      </c>
      <c r="K148" s="325">
        <f t="shared" si="64"/>
        <v>7</v>
      </c>
      <c r="L148" s="325">
        <f t="shared" si="64"/>
        <v>8</v>
      </c>
      <c r="M148" s="325">
        <f t="shared" si="64"/>
        <v>9</v>
      </c>
      <c r="N148" s="325">
        <f t="shared" si="64"/>
        <v>10</v>
      </c>
      <c r="O148" s="325">
        <f t="shared" si="64"/>
        <v>11</v>
      </c>
      <c r="P148" s="325">
        <f t="shared" si="64"/>
        <v>12</v>
      </c>
      <c r="Q148" s="325">
        <f t="shared" si="64"/>
        <v>13</v>
      </c>
      <c r="R148" s="325">
        <f t="shared" si="64"/>
        <v>14</v>
      </c>
      <c r="S148" s="325">
        <f t="shared" si="64"/>
        <v>15</v>
      </c>
      <c r="T148" s="325">
        <f t="shared" si="64"/>
        <v>16</v>
      </c>
      <c r="U148" s="325">
        <f t="shared" si="64"/>
        <v>17</v>
      </c>
      <c r="V148" s="234"/>
      <c r="W148" s="234"/>
      <c r="X148" s="234"/>
      <c r="Y148" s="234"/>
      <c r="Z148" s="234"/>
      <c r="AA148" s="234"/>
      <c r="AB148" s="234"/>
      <c r="AC148" s="234"/>
      <c r="AD148" s="234"/>
      <c r="AE148" s="234"/>
      <c r="AF148" s="234"/>
      <c r="AG148" s="234"/>
      <c r="AH148" s="234"/>
      <c r="AI148" s="234"/>
    </row>
    <row r="149" spans="1:35" s="6" customFormat="1">
      <c r="A149" s="269" t="s">
        <v>251</v>
      </c>
      <c r="B149" s="95" t="s">
        <v>388</v>
      </c>
      <c r="C149" s="323"/>
      <c r="D149" s="324"/>
      <c r="E149" s="298">
        <f>T5+1</f>
        <v>2037</v>
      </c>
      <c r="F149" s="298">
        <f>E149+1</f>
        <v>2038</v>
      </c>
      <c r="G149" s="298">
        <f t="shared" si="64"/>
        <v>2039</v>
      </c>
      <c r="H149" s="298">
        <f t="shared" si="64"/>
        <v>2040</v>
      </c>
      <c r="I149" s="298">
        <f t="shared" si="64"/>
        <v>2041</v>
      </c>
      <c r="J149" s="298">
        <f t="shared" si="64"/>
        <v>2042</v>
      </c>
      <c r="K149" s="298">
        <f t="shared" si="64"/>
        <v>2043</v>
      </c>
      <c r="L149" s="298">
        <f t="shared" si="64"/>
        <v>2044</v>
      </c>
      <c r="M149" s="298">
        <f t="shared" si="64"/>
        <v>2045</v>
      </c>
      <c r="N149" s="298">
        <f t="shared" si="64"/>
        <v>2046</v>
      </c>
      <c r="O149" s="298">
        <f t="shared" si="64"/>
        <v>2047</v>
      </c>
      <c r="P149" s="298">
        <f t="shared" si="64"/>
        <v>2048</v>
      </c>
      <c r="Q149" s="298">
        <f t="shared" si="64"/>
        <v>2049</v>
      </c>
      <c r="R149" s="298">
        <f t="shared" si="64"/>
        <v>2050</v>
      </c>
      <c r="S149" s="298">
        <f t="shared" si="64"/>
        <v>2051</v>
      </c>
      <c r="T149" s="298">
        <f t="shared" si="64"/>
        <v>2052</v>
      </c>
      <c r="U149" s="298">
        <f t="shared" si="64"/>
        <v>2053</v>
      </c>
      <c r="V149" s="235"/>
      <c r="W149" s="235"/>
      <c r="X149" s="235"/>
      <c r="Y149" s="235"/>
      <c r="Z149" s="235"/>
      <c r="AA149" s="235"/>
      <c r="AB149" s="235"/>
      <c r="AC149" s="235"/>
      <c r="AD149" s="235"/>
      <c r="AE149" s="235"/>
      <c r="AF149" s="235"/>
      <c r="AG149" s="235"/>
      <c r="AH149" s="235"/>
      <c r="AI149" s="235"/>
    </row>
    <row r="150" spans="1:35" s="6" customFormat="1" ht="12">
      <c r="A150" s="96" t="s">
        <v>34</v>
      </c>
      <c r="B150" s="113" t="s">
        <v>174</v>
      </c>
      <c r="C150" s="301" t="s">
        <v>151</v>
      </c>
      <c r="D150" s="328">
        <f>Założenia!$E$6</f>
        <v>2021</v>
      </c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</row>
    <row r="151" spans="1:35" s="6" customFormat="1" ht="12">
      <c r="A151" s="96" t="s">
        <v>35</v>
      </c>
      <c r="B151" s="113" t="s">
        <v>175</v>
      </c>
      <c r="C151" s="301" t="s">
        <v>151</v>
      </c>
      <c r="D151" s="328">
        <f>Założenia!$E$8</f>
        <v>2036</v>
      </c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</row>
    <row r="152" spans="1:35" s="6" customFormat="1" ht="12">
      <c r="A152" s="96" t="s">
        <v>30</v>
      </c>
      <c r="B152" s="113" t="s">
        <v>4</v>
      </c>
      <c r="C152" s="301" t="s">
        <v>28</v>
      </c>
      <c r="D152" s="300">
        <f>Założenia!$E$9</f>
        <v>15</v>
      </c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</row>
    <row r="153" spans="1:35" s="6" customFormat="1" ht="12">
      <c r="A153" s="96" t="s">
        <v>37</v>
      </c>
      <c r="B153" s="167" t="s">
        <v>177</v>
      </c>
      <c r="C153" s="301" t="s">
        <v>28</v>
      </c>
      <c r="D153" s="302">
        <f>D125</f>
        <v>12</v>
      </c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</row>
    <row r="154" spans="1:35" s="6" customFormat="1" ht="12">
      <c r="A154" s="96" t="s">
        <v>38</v>
      </c>
      <c r="B154" s="167" t="s">
        <v>182</v>
      </c>
      <c r="C154" s="301" t="s">
        <v>0</v>
      </c>
      <c r="D154" s="302"/>
      <c r="E154" s="23">
        <f>IF(E157&gt;0,($T$174-$T$171-AVERAGE($E$163:$T$163)),0)</f>
        <v>875045.02941429522</v>
      </c>
      <c r="F154" s="23">
        <f t="shared" ref="F154:T154" si="65">IF(F157&gt;0,($T$174-$T$171-AVERAGE($E$163:$T$163)),0)</f>
        <v>875045.02941429522</v>
      </c>
      <c r="G154" s="23">
        <f t="shared" si="65"/>
        <v>875045.02941429522</v>
      </c>
      <c r="H154" s="23">
        <f t="shared" si="65"/>
        <v>875045.02941429522</v>
      </c>
      <c r="I154" s="23">
        <f t="shared" si="65"/>
        <v>875045.02941429522</v>
      </c>
      <c r="J154" s="23">
        <f t="shared" si="65"/>
        <v>875045.02941429522</v>
      </c>
      <c r="K154" s="23">
        <f t="shared" si="65"/>
        <v>875045.02941429522</v>
      </c>
      <c r="L154" s="23">
        <f t="shared" si="65"/>
        <v>875045.02941429522</v>
      </c>
      <c r="M154" s="23">
        <f t="shared" si="65"/>
        <v>875045.02941429522</v>
      </c>
      <c r="N154" s="23">
        <f t="shared" si="65"/>
        <v>875045.02941429522</v>
      </c>
      <c r="O154" s="23">
        <f t="shared" si="65"/>
        <v>875045.02941429522</v>
      </c>
      <c r="P154" s="23">
        <f t="shared" si="65"/>
        <v>875045.02941429522</v>
      </c>
      <c r="Q154" s="23">
        <f t="shared" si="65"/>
        <v>0</v>
      </c>
      <c r="R154" s="23">
        <f t="shared" si="65"/>
        <v>0</v>
      </c>
      <c r="S154" s="23">
        <f t="shared" si="65"/>
        <v>0</v>
      </c>
      <c r="T154" s="23">
        <f t="shared" si="65"/>
        <v>0</v>
      </c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</row>
    <row r="155" spans="1:35" s="6" customFormat="1" ht="12">
      <c r="A155" s="96" t="s">
        <v>39</v>
      </c>
      <c r="B155" s="167" t="s">
        <v>181</v>
      </c>
      <c r="C155" s="301" t="s">
        <v>0</v>
      </c>
      <c r="D155" s="302"/>
      <c r="E155" s="23">
        <f>E154/(1+Założenia!$E$17)^E148</f>
        <v>837363.66451128735</v>
      </c>
      <c r="F155" s="23">
        <f>F154/(1+Założenia!$E$17)^F148</f>
        <v>801304.94211606449</v>
      </c>
      <c r="G155" s="23">
        <f>G154/(1+Założenia!$E$17)^G148</f>
        <v>766798.98767087515</v>
      </c>
      <c r="H155" s="23">
        <f>H154/(1+Założenia!$E$17)^H148</f>
        <v>733778.93557021569</v>
      </c>
      <c r="I155" s="23">
        <f>I154/(1+Założenia!$E$17)^I148</f>
        <v>702180.79958872311</v>
      </c>
      <c r="J155" s="23">
        <f>J154/(1+Założenia!$E$17)^J148</f>
        <v>671943.3488887304</v>
      </c>
      <c r="K155" s="23">
        <f>K154/(1+Założenia!$E$17)^K148</f>
        <v>643007.98936720612</v>
      </c>
      <c r="L155" s="23">
        <f>L154/(1+Założenia!$E$17)^L148</f>
        <v>615318.65011215908</v>
      </c>
      <c r="M155" s="23">
        <f>M154/(1+Założenia!$E$17)^M148</f>
        <v>588821.67474847764</v>
      </c>
      <c r="N155" s="23">
        <f>N154/(1+Założenia!$E$17)^N148</f>
        <v>563465.71746265818</v>
      </c>
      <c r="O155" s="23">
        <f>O154/(1+Założenia!$E$17)^O148</f>
        <v>539201.64350493602</v>
      </c>
      <c r="P155" s="23">
        <f>P154/(1+Założenia!$E$17)^P148</f>
        <v>515982.43397601548</v>
      </c>
      <c r="Q155" s="23">
        <f>Q154/(1+Założenia!$E$17)^Q148</f>
        <v>0</v>
      </c>
      <c r="R155" s="23">
        <f>R154/(1+Założenia!$E$17)^R148</f>
        <v>0</v>
      </c>
      <c r="S155" s="23">
        <f>S154/(1+Założenia!$E$17)^S148</f>
        <v>0</v>
      </c>
      <c r="T155" s="23">
        <f>T154/(1+Założenia!$E$17)^T148</f>
        <v>0</v>
      </c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4"/>
    </row>
    <row r="156" spans="1:35" s="6" customFormat="1" ht="12">
      <c r="A156" s="96" t="s">
        <v>40</v>
      </c>
      <c r="B156" s="167" t="s">
        <v>53</v>
      </c>
      <c r="C156" s="335" t="s">
        <v>0</v>
      </c>
      <c r="D156" s="336">
        <f>SUM(E155:AH155)</f>
        <v>7979168.7875173483</v>
      </c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</row>
    <row r="157" spans="1:35" s="123" customFormat="1" ht="12">
      <c r="A157" s="46"/>
      <c r="B157" s="122"/>
      <c r="C157" s="337"/>
      <c r="D157" s="338">
        <v>12</v>
      </c>
      <c r="E157" s="339">
        <f>D157</f>
        <v>12</v>
      </c>
      <c r="F157" s="339">
        <f>IF(E157-1&gt;0,E157-1,0)</f>
        <v>11</v>
      </c>
      <c r="G157" s="339">
        <f>IF(F157-1&gt;0,F157-1,0)</f>
        <v>10</v>
      </c>
      <c r="H157" s="339">
        <f t="shared" ref="H157:T157" si="66">IF(G157-1&gt;0,G157-1,0)</f>
        <v>9</v>
      </c>
      <c r="I157" s="339">
        <f t="shared" si="66"/>
        <v>8</v>
      </c>
      <c r="J157" s="339">
        <f t="shared" si="66"/>
        <v>7</v>
      </c>
      <c r="K157" s="339">
        <f t="shared" si="66"/>
        <v>6</v>
      </c>
      <c r="L157" s="339">
        <f t="shared" si="66"/>
        <v>5</v>
      </c>
      <c r="M157" s="339">
        <f t="shared" si="66"/>
        <v>4</v>
      </c>
      <c r="N157" s="339">
        <f t="shared" si="66"/>
        <v>3</v>
      </c>
      <c r="O157" s="339">
        <f t="shared" si="66"/>
        <v>2</v>
      </c>
      <c r="P157" s="339">
        <f t="shared" si="66"/>
        <v>1</v>
      </c>
      <c r="Q157" s="339">
        <f t="shared" si="66"/>
        <v>0</v>
      </c>
      <c r="R157" s="339">
        <f t="shared" si="66"/>
        <v>0</v>
      </c>
      <c r="S157" s="339">
        <f t="shared" si="66"/>
        <v>0</v>
      </c>
      <c r="T157" s="339">
        <f t="shared" si="66"/>
        <v>0</v>
      </c>
      <c r="U157" s="164"/>
    </row>
    <row r="158" spans="1:35" s="123" customFormat="1" ht="12">
      <c r="A158" s="46"/>
      <c r="B158" s="122"/>
      <c r="C158" s="200"/>
      <c r="D158" s="200"/>
      <c r="E158" s="334"/>
      <c r="F158" s="211"/>
      <c r="G158" s="333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64"/>
    </row>
    <row r="159" spans="1:35" s="1" customFormat="1" ht="12">
      <c r="A159" s="269" t="s">
        <v>252</v>
      </c>
      <c r="B159" s="95" t="s">
        <v>245</v>
      </c>
      <c r="E159" s="325">
        <v>0</v>
      </c>
      <c r="F159" s="325">
        <f>E159+1</f>
        <v>1</v>
      </c>
      <c r="G159" s="325">
        <f t="shared" ref="G159:T159" si="67">F159+1</f>
        <v>2</v>
      </c>
      <c r="H159" s="325">
        <f t="shared" si="67"/>
        <v>3</v>
      </c>
      <c r="I159" s="325">
        <f t="shared" si="67"/>
        <v>4</v>
      </c>
      <c r="J159" s="325">
        <f t="shared" si="67"/>
        <v>5</v>
      </c>
      <c r="K159" s="325">
        <f t="shared" si="67"/>
        <v>6</v>
      </c>
      <c r="L159" s="325">
        <f t="shared" si="67"/>
        <v>7</v>
      </c>
      <c r="M159" s="325">
        <f t="shared" si="67"/>
        <v>8</v>
      </c>
      <c r="N159" s="325">
        <f t="shared" si="67"/>
        <v>9</v>
      </c>
      <c r="O159" s="325">
        <f t="shared" si="67"/>
        <v>10</v>
      </c>
      <c r="P159" s="325">
        <f t="shared" si="67"/>
        <v>11</v>
      </c>
      <c r="Q159" s="325">
        <f t="shared" si="67"/>
        <v>12</v>
      </c>
      <c r="R159" s="325">
        <f t="shared" si="67"/>
        <v>13</v>
      </c>
      <c r="S159" s="325">
        <f t="shared" si="67"/>
        <v>14</v>
      </c>
      <c r="T159" s="325">
        <f t="shared" si="67"/>
        <v>15</v>
      </c>
    </row>
    <row r="160" spans="1:35" s="26" customFormat="1">
      <c r="A160" s="108" t="s">
        <v>34</v>
      </c>
      <c r="B160" s="118" t="s">
        <v>92</v>
      </c>
      <c r="C160" s="301" t="s">
        <v>0</v>
      </c>
      <c r="D160" s="301"/>
      <c r="E160" s="102">
        <f>E161+E162+E163+E164</f>
        <v>0</v>
      </c>
      <c r="F160" s="102">
        <f t="shared" ref="F160:T160" si="68">F161+F162+F163+F164</f>
        <v>-539.30439878627658</v>
      </c>
      <c r="G160" s="102">
        <f t="shared" si="68"/>
        <v>-549.91124470904469</v>
      </c>
      <c r="H160" s="102">
        <f t="shared" si="68"/>
        <v>-560.51809063181281</v>
      </c>
      <c r="I160" s="102">
        <f t="shared" si="68"/>
        <v>-571.12493655830622</v>
      </c>
      <c r="J160" s="102">
        <f t="shared" si="68"/>
        <v>-581.73178248107433</v>
      </c>
      <c r="K160" s="102">
        <f t="shared" si="68"/>
        <v>43439721.69225426</v>
      </c>
      <c r="L160" s="102">
        <f t="shared" si="68"/>
        <v>-786096.75915523991</v>
      </c>
      <c r="M160" s="102">
        <f t="shared" si="68"/>
        <v>-799675.01445513219</v>
      </c>
      <c r="N160" s="102">
        <f t="shared" si="68"/>
        <v>-813253.26975502819</v>
      </c>
      <c r="O160" s="102">
        <f t="shared" si="68"/>
        <v>-826831.52505491674</v>
      </c>
      <c r="P160" s="102">
        <f t="shared" si="68"/>
        <v>-840409.78035481274</v>
      </c>
      <c r="Q160" s="102">
        <f t="shared" si="68"/>
        <v>-12553988.035654705</v>
      </c>
      <c r="R160" s="102">
        <f t="shared" si="68"/>
        <v>-485955.61370362341</v>
      </c>
      <c r="S160" s="102">
        <f t="shared" si="68"/>
        <v>21704466.130996484</v>
      </c>
      <c r="T160" s="102">
        <f t="shared" si="68"/>
        <v>7196162.2998620961</v>
      </c>
      <c r="U160" s="13"/>
    </row>
    <row r="161" spans="1:20" s="1" customFormat="1" ht="12">
      <c r="A161" s="96" t="s">
        <v>43</v>
      </c>
      <c r="B161" s="111" t="s">
        <v>33</v>
      </c>
      <c r="C161" s="214" t="s">
        <v>0</v>
      </c>
      <c r="D161" s="214"/>
      <c r="E161" s="23">
        <f t="shared" ref="E161:T161" si="69">E110</f>
        <v>0</v>
      </c>
      <c r="F161" s="23">
        <f t="shared" si="69"/>
        <v>0</v>
      </c>
      <c r="G161" s="23">
        <f t="shared" si="69"/>
        <v>0</v>
      </c>
      <c r="H161" s="23">
        <f t="shared" si="69"/>
        <v>0</v>
      </c>
      <c r="I161" s="23">
        <f t="shared" si="69"/>
        <v>0</v>
      </c>
      <c r="J161" s="23">
        <f t="shared" si="69"/>
        <v>0</v>
      </c>
      <c r="K161" s="23">
        <f t="shared" si="69"/>
        <v>43610000</v>
      </c>
      <c r="L161" s="23">
        <f t="shared" si="69"/>
        <v>0</v>
      </c>
      <c r="M161" s="23">
        <f t="shared" si="69"/>
        <v>0</v>
      </c>
      <c r="N161" s="23">
        <f t="shared" si="69"/>
        <v>0</v>
      </c>
      <c r="O161" s="23">
        <f t="shared" si="69"/>
        <v>0</v>
      </c>
      <c r="P161" s="23">
        <f t="shared" si="69"/>
        <v>0</v>
      </c>
      <c r="Q161" s="23">
        <f t="shared" si="69"/>
        <v>-11700000</v>
      </c>
      <c r="R161" s="23">
        <f t="shared" si="69"/>
        <v>0</v>
      </c>
      <c r="S161" s="23">
        <f t="shared" si="69"/>
        <v>21140000</v>
      </c>
      <c r="T161" s="23">
        <f t="shared" si="69"/>
        <v>0</v>
      </c>
    </row>
    <row r="162" spans="1:20" s="1" customFormat="1" ht="12">
      <c r="A162" s="96" t="s">
        <v>44</v>
      </c>
      <c r="B162" s="111" t="s">
        <v>93</v>
      </c>
      <c r="C162" s="214" t="s">
        <v>0</v>
      </c>
      <c r="D162" s="214"/>
      <c r="E162" s="23">
        <f t="shared" ref="E162:T162" si="70">E136</f>
        <v>0</v>
      </c>
      <c r="F162" s="23">
        <f t="shared" si="70"/>
        <v>-539.30439878627658</v>
      </c>
      <c r="G162" s="23">
        <f t="shared" si="70"/>
        <v>-549.91124470904469</v>
      </c>
      <c r="H162" s="23">
        <f t="shared" si="70"/>
        <v>-560.51809063181281</v>
      </c>
      <c r="I162" s="23">
        <f t="shared" si="70"/>
        <v>-571.12493655830622</v>
      </c>
      <c r="J162" s="23">
        <f t="shared" si="70"/>
        <v>-581.73178248107433</v>
      </c>
      <c r="K162" s="23">
        <f t="shared" si="70"/>
        <v>-170278.30774573609</v>
      </c>
      <c r="L162" s="23">
        <f t="shared" si="70"/>
        <v>-786096.75915523991</v>
      </c>
      <c r="M162" s="23">
        <f t="shared" si="70"/>
        <v>-799675.01445513219</v>
      </c>
      <c r="N162" s="23">
        <f t="shared" si="70"/>
        <v>-813253.26975502819</v>
      </c>
      <c r="O162" s="23">
        <f t="shared" si="70"/>
        <v>-826831.52505491674</v>
      </c>
      <c r="P162" s="23">
        <f t="shared" si="70"/>
        <v>-840409.78035481274</v>
      </c>
      <c r="Q162" s="23">
        <f t="shared" si="70"/>
        <v>-853988.03565470502</v>
      </c>
      <c r="R162" s="23">
        <f t="shared" si="70"/>
        <v>-485955.61370362341</v>
      </c>
      <c r="S162" s="23">
        <f t="shared" si="70"/>
        <v>-499533.86900351569</v>
      </c>
      <c r="T162" s="23">
        <f t="shared" si="70"/>
        <v>-783006.48765525222</v>
      </c>
    </row>
    <row r="163" spans="1:20" s="1" customFormat="1" ht="12">
      <c r="A163" s="96" t="s">
        <v>45</v>
      </c>
      <c r="B163" s="111" t="s">
        <v>60</v>
      </c>
      <c r="C163" s="214" t="s">
        <v>0</v>
      </c>
      <c r="D163" s="214"/>
      <c r="E163" s="23">
        <f t="shared" ref="E163:T163" si="71">E113</f>
        <v>0</v>
      </c>
      <c r="F163" s="23">
        <f t="shared" si="71"/>
        <v>0</v>
      </c>
      <c r="G163" s="23">
        <f t="shared" si="71"/>
        <v>0</v>
      </c>
      <c r="H163" s="23">
        <f t="shared" si="71"/>
        <v>0</v>
      </c>
      <c r="I163" s="23">
        <f t="shared" si="71"/>
        <v>0</v>
      </c>
      <c r="J163" s="23">
        <f t="shared" si="71"/>
        <v>0</v>
      </c>
      <c r="K163" s="23">
        <f t="shared" si="71"/>
        <v>0</v>
      </c>
      <c r="L163" s="23">
        <f t="shared" si="71"/>
        <v>0</v>
      </c>
      <c r="M163" s="23">
        <f t="shared" si="71"/>
        <v>0</v>
      </c>
      <c r="N163" s="23">
        <f t="shared" si="71"/>
        <v>0</v>
      </c>
      <c r="O163" s="23">
        <f t="shared" si="71"/>
        <v>0</v>
      </c>
      <c r="P163" s="23">
        <f t="shared" si="71"/>
        <v>0</v>
      </c>
      <c r="Q163" s="23">
        <f t="shared" si="71"/>
        <v>0</v>
      </c>
      <c r="R163" s="23">
        <f t="shared" si="71"/>
        <v>0</v>
      </c>
      <c r="S163" s="23">
        <f t="shared" si="71"/>
        <v>1064000</v>
      </c>
      <c r="T163" s="23">
        <f t="shared" si="71"/>
        <v>0</v>
      </c>
    </row>
    <row r="164" spans="1:20" s="1" customFormat="1" ht="12">
      <c r="A164" s="96" t="s">
        <v>76</v>
      </c>
      <c r="B164" s="111" t="s">
        <v>53</v>
      </c>
      <c r="C164" s="214" t="s">
        <v>0</v>
      </c>
      <c r="D164" s="214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>
        <f>IF(D156&gt;0,D156,0)</f>
        <v>7979168.7875173483</v>
      </c>
    </row>
    <row r="165" spans="1:20" s="13" customFormat="1" ht="12">
      <c r="A165" s="108" t="s">
        <v>35</v>
      </c>
      <c r="B165" s="118" t="s">
        <v>95</v>
      </c>
      <c r="C165" s="301"/>
      <c r="D165" s="301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</row>
    <row r="166" spans="1:20" s="1" customFormat="1" ht="12">
      <c r="A166" s="96" t="s">
        <v>49</v>
      </c>
      <c r="B166" s="111" t="s">
        <v>195</v>
      </c>
      <c r="C166" s="214" t="s">
        <v>90</v>
      </c>
      <c r="D166" s="214"/>
      <c r="E166" s="39">
        <f>Założenia!$E$33</f>
        <v>0.83</v>
      </c>
      <c r="F166" s="39">
        <f>Założenia!$E$33</f>
        <v>0.83</v>
      </c>
      <c r="G166" s="39">
        <f>Założenia!$E$33</f>
        <v>0.83</v>
      </c>
      <c r="H166" s="39">
        <f>Założenia!$E$33</f>
        <v>0.83</v>
      </c>
      <c r="I166" s="39">
        <f>Założenia!$E$33</f>
        <v>0.83</v>
      </c>
      <c r="J166" s="39">
        <f>Założenia!$E$33</f>
        <v>0.83</v>
      </c>
      <c r="K166" s="39">
        <f>Założenia!$E$33</f>
        <v>0.83</v>
      </c>
      <c r="L166" s="39">
        <f>Założenia!$E$33</f>
        <v>0.83</v>
      </c>
      <c r="M166" s="39">
        <f>Założenia!$E$33</f>
        <v>0.83</v>
      </c>
      <c r="N166" s="39">
        <f>Założenia!$E$33</f>
        <v>0.83</v>
      </c>
      <c r="O166" s="39">
        <f>Założenia!$E$33</f>
        <v>0.83</v>
      </c>
      <c r="P166" s="39">
        <f>Założenia!$E$33</f>
        <v>0.83</v>
      </c>
      <c r="Q166" s="39">
        <f>Założenia!$E$33</f>
        <v>0.83</v>
      </c>
      <c r="R166" s="39">
        <f>Założenia!$E$33</f>
        <v>0.83</v>
      </c>
      <c r="S166" s="39">
        <f>Założenia!$E$33</f>
        <v>0.83</v>
      </c>
      <c r="T166" s="39">
        <f>Założenia!$E$33</f>
        <v>0.83</v>
      </c>
    </row>
    <row r="167" spans="1:20" s="1" customFormat="1" ht="12">
      <c r="A167" s="96" t="s">
        <v>50</v>
      </c>
      <c r="B167" s="111" t="s">
        <v>196</v>
      </c>
      <c r="C167" s="214"/>
      <c r="D167" s="214"/>
      <c r="E167" s="39">
        <f>Założenia!$E$34</f>
        <v>0.87</v>
      </c>
      <c r="F167" s="39">
        <f>Założenia!$E$34</f>
        <v>0.87</v>
      </c>
      <c r="G167" s="39">
        <f>Założenia!$E$34</f>
        <v>0.87</v>
      </c>
      <c r="H167" s="39">
        <f>Założenia!$E$34</f>
        <v>0.87</v>
      </c>
      <c r="I167" s="39">
        <f>Założenia!$E$34</f>
        <v>0.87</v>
      </c>
      <c r="J167" s="39">
        <f>Założenia!$E$34</f>
        <v>0.87</v>
      </c>
      <c r="K167" s="39">
        <f>Założenia!$E$34</f>
        <v>0.87</v>
      </c>
      <c r="L167" s="39">
        <f>Założenia!$E$34</f>
        <v>0.87</v>
      </c>
      <c r="M167" s="39">
        <f>Założenia!$E$34</f>
        <v>0.87</v>
      </c>
      <c r="N167" s="39">
        <f>Założenia!$E$34</f>
        <v>0.87</v>
      </c>
      <c r="O167" s="39">
        <f>Założenia!$E$34</f>
        <v>0.87</v>
      </c>
      <c r="P167" s="39">
        <f>Założenia!$E$34</f>
        <v>0.87</v>
      </c>
      <c r="Q167" s="39">
        <f>Założenia!$E$34</f>
        <v>0.87</v>
      </c>
      <c r="R167" s="39">
        <f>Założenia!$E$34</f>
        <v>0.87</v>
      </c>
      <c r="S167" s="39">
        <f>Założenia!$E$34</f>
        <v>0.87</v>
      </c>
      <c r="T167" s="39">
        <f>Założenia!$E$34</f>
        <v>0.87</v>
      </c>
    </row>
    <row r="168" spans="1:20" s="1" customFormat="1" ht="12">
      <c r="A168" s="96" t="s">
        <v>61</v>
      </c>
      <c r="B168" s="111" t="s">
        <v>96</v>
      </c>
      <c r="C168" s="214" t="s">
        <v>90</v>
      </c>
      <c r="D168" s="214"/>
      <c r="E168" s="39">
        <f>Założenia!$E$35</f>
        <v>0.78</v>
      </c>
      <c r="F168" s="39">
        <f>Założenia!$E$35</f>
        <v>0.78</v>
      </c>
      <c r="G168" s="39">
        <f>Założenia!$E$35</f>
        <v>0.78</v>
      </c>
      <c r="H168" s="39">
        <f>Założenia!$E$35</f>
        <v>0.78</v>
      </c>
      <c r="I168" s="39">
        <f>Założenia!$E$35</f>
        <v>0.78</v>
      </c>
      <c r="J168" s="39">
        <f>Założenia!$E$35</f>
        <v>0.78</v>
      </c>
      <c r="K168" s="39">
        <f>Założenia!$E$35</f>
        <v>0.78</v>
      </c>
      <c r="L168" s="39">
        <f>Założenia!$E$35</f>
        <v>0.78</v>
      </c>
      <c r="M168" s="39">
        <f>Założenia!$E$35</f>
        <v>0.78</v>
      </c>
      <c r="N168" s="39">
        <f>Założenia!$E$35</f>
        <v>0.78</v>
      </c>
      <c r="O168" s="39">
        <f>Założenia!$E$35</f>
        <v>0.78</v>
      </c>
      <c r="P168" s="39">
        <f>Założenia!$E$35</f>
        <v>0.78</v>
      </c>
      <c r="Q168" s="39">
        <f>Założenia!$E$35</f>
        <v>0.78</v>
      </c>
      <c r="R168" s="39">
        <f>Założenia!$E$35</f>
        <v>0.78</v>
      </c>
      <c r="S168" s="39">
        <f>Założenia!$E$35</f>
        <v>0.78</v>
      </c>
      <c r="T168" s="39">
        <f>Założenia!$E$35</f>
        <v>0.78</v>
      </c>
    </row>
    <row r="169" spans="1:20" s="1" customFormat="1" ht="12">
      <c r="A169" s="108" t="s">
        <v>30</v>
      </c>
      <c r="B169" s="118" t="s">
        <v>97</v>
      </c>
      <c r="C169" s="214" t="s">
        <v>0</v>
      </c>
      <c r="D169" s="214"/>
      <c r="E169" s="102">
        <f>E170+E171+E172+E173</f>
        <v>0</v>
      </c>
      <c r="F169" s="102">
        <f t="shared" ref="F169:T169" si="72">F170+F171+F172+F173</f>
        <v>-420.65743105329574</v>
      </c>
      <c r="G169" s="102">
        <f t="shared" si="72"/>
        <v>-428.93077087305488</v>
      </c>
      <c r="H169" s="102">
        <f t="shared" si="72"/>
        <v>-437.20411069281403</v>
      </c>
      <c r="I169" s="102">
        <f t="shared" si="72"/>
        <v>-445.47745051547889</v>
      </c>
      <c r="J169" s="102">
        <f t="shared" si="72"/>
        <v>-453.75079033523798</v>
      </c>
      <c r="K169" s="102">
        <f t="shared" si="72"/>
        <v>37661882.919958323</v>
      </c>
      <c r="L169" s="102">
        <f t="shared" si="72"/>
        <v>-613155.47214108717</v>
      </c>
      <c r="M169" s="102">
        <f t="shared" si="72"/>
        <v>-623746.51127500308</v>
      </c>
      <c r="N169" s="102">
        <f t="shared" si="72"/>
        <v>-634337.55040892202</v>
      </c>
      <c r="O169" s="102">
        <f t="shared" si="72"/>
        <v>-644928.58954283514</v>
      </c>
      <c r="P169" s="102">
        <f t="shared" si="72"/>
        <v>-655519.62867675396</v>
      </c>
      <c r="Q169" s="102">
        <f t="shared" si="72"/>
        <v>-10845110.667810669</v>
      </c>
      <c r="R169" s="102">
        <f t="shared" si="72"/>
        <v>-379045.37868882628</v>
      </c>
      <c r="S169" s="102">
        <f t="shared" si="72"/>
        <v>18927843.582177259</v>
      </c>
      <c r="T169" s="102">
        <f t="shared" si="72"/>
        <v>7368423.7271462511</v>
      </c>
    </row>
    <row r="170" spans="1:20" s="1" customFormat="1" ht="12">
      <c r="A170" s="96" t="s">
        <v>51</v>
      </c>
      <c r="B170" s="111" t="s">
        <v>33</v>
      </c>
      <c r="C170" s="214" t="s">
        <v>0</v>
      </c>
      <c r="D170" s="300">
        <f>SUMPRODUCT(E170:T170,$E$183:$T$183)</f>
        <v>32951273.466410533</v>
      </c>
      <c r="E170" s="23">
        <f t="shared" ref="E170:T170" si="73">E111*E167+E112*E166</f>
        <v>0</v>
      </c>
      <c r="F170" s="23">
        <f t="shared" si="73"/>
        <v>0</v>
      </c>
      <c r="G170" s="23">
        <f t="shared" si="73"/>
        <v>0</v>
      </c>
      <c r="H170" s="23">
        <f t="shared" si="73"/>
        <v>0</v>
      </c>
      <c r="I170" s="23">
        <f t="shared" si="73"/>
        <v>0</v>
      </c>
      <c r="J170" s="23">
        <f t="shared" si="73"/>
        <v>0</v>
      </c>
      <c r="K170" s="23">
        <f t="shared" si="73"/>
        <v>37794700</v>
      </c>
      <c r="L170" s="23">
        <f t="shared" si="73"/>
        <v>0</v>
      </c>
      <c r="M170" s="23">
        <f t="shared" si="73"/>
        <v>0</v>
      </c>
      <c r="N170" s="23">
        <f t="shared" si="73"/>
        <v>0</v>
      </c>
      <c r="O170" s="23">
        <f t="shared" si="73"/>
        <v>0</v>
      </c>
      <c r="P170" s="23">
        <f t="shared" si="73"/>
        <v>0</v>
      </c>
      <c r="Q170" s="23">
        <f t="shared" si="73"/>
        <v>-10179000</v>
      </c>
      <c r="R170" s="23">
        <f t="shared" si="73"/>
        <v>0</v>
      </c>
      <c r="S170" s="23">
        <f t="shared" si="73"/>
        <v>18391800</v>
      </c>
      <c r="T170" s="23">
        <f t="shared" si="73"/>
        <v>0</v>
      </c>
    </row>
    <row r="171" spans="1:20" s="1" customFormat="1" ht="12">
      <c r="A171" s="96" t="s">
        <v>52</v>
      </c>
      <c r="B171" s="111" t="s">
        <v>93</v>
      </c>
      <c r="C171" s="214" t="s">
        <v>0</v>
      </c>
      <c r="D171" s="300">
        <f>SUMPRODUCT(E171:T171,$E$183:$T$183)</f>
        <v>-3371788.9352443316</v>
      </c>
      <c r="E171" s="23">
        <f>E162*E168</f>
        <v>0</v>
      </c>
      <c r="F171" s="23">
        <f t="shared" ref="F171:T171" si="74">F162*F168</f>
        <v>-420.65743105329574</v>
      </c>
      <c r="G171" s="23">
        <f t="shared" si="74"/>
        <v>-428.93077087305488</v>
      </c>
      <c r="H171" s="23">
        <f t="shared" si="74"/>
        <v>-437.20411069281403</v>
      </c>
      <c r="I171" s="23">
        <f t="shared" si="74"/>
        <v>-445.47745051547889</v>
      </c>
      <c r="J171" s="23">
        <f t="shared" si="74"/>
        <v>-453.75079033523798</v>
      </c>
      <c r="K171" s="23">
        <f t="shared" si="74"/>
        <v>-132817.08004167417</v>
      </c>
      <c r="L171" s="23">
        <f t="shared" si="74"/>
        <v>-613155.47214108717</v>
      </c>
      <c r="M171" s="23">
        <f t="shared" si="74"/>
        <v>-623746.51127500308</v>
      </c>
      <c r="N171" s="23">
        <f t="shared" si="74"/>
        <v>-634337.55040892202</v>
      </c>
      <c r="O171" s="23">
        <f t="shared" si="74"/>
        <v>-644928.58954283514</v>
      </c>
      <c r="P171" s="23">
        <f t="shared" si="74"/>
        <v>-655519.62867675396</v>
      </c>
      <c r="Q171" s="23">
        <f t="shared" si="74"/>
        <v>-666110.66781066998</v>
      </c>
      <c r="R171" s="23">
        <f t="shared" si="74"/>
        <v>-379045.37868882628</v>
      </c>
      <c r="S171" s="23">
        <f t="shared" si="74"/>
        <v>-389636.41782274225</v>
      </c>
      <c r="T171" s="23">
        <f t="shared" si="74"/>
        <v>-610745.06037109671</v>
      </c>
    </row>
    <row r="172" spans="1:20" s="1" customFormat="1" ht="12">
      <c r="A172" s="96" t="s">
        <v>58</v>
      </c>
      <c r="B172" s="111" t="s">
        <v>60</v>
      </c>
      <c r="C172" s="214" t="s">
        <v>0</v>
      </c>
      <c r="D172" s="300">
        <f>SUMPRODUCT(E172:T172,$E$183:$T$183)</f>
        <v>499842.0790997888</v>
      </c>
      <c r="E172" s="23">
        <f>E163*E167</f>
        <v>0</v>
      </c>
      <c r="F172" s="23">
        <f t="shared" ref="F172:T172" si="75">F163*F167</f>
        <v>0</v>
      </c>
      <c r="G172" s="23">
        <f t="shared" si="75"/>
        <v>0</v>
      </c>
      <c r="H172" s="23">
        <f t="shared" si="75"/>
        <v>0</v>
      </c>
      <c r="I172" s="23">
        <f t="shared" si="75"/>
        <v>0</v>
      </c>
      <c r="J172" s="23">
        <f t="shared" si="75"/>
        <v>0</v>
      </c>
      <c r="K172" s="23">
        <f t="shared" si="75"/>
        <v>0</v>
      </c>
      <c r="L172" s="23">
        <f t="shared" si="75"/>
        <v>0</v>
      </c>
      <c r="M172" s="23">
        <f t="shared" si="75"/>
        <v>0</v>
      </c>
      <c r="N172" s="23">
        <f t="shared" si="75"/>
        <v>0</v>
      </c>
      <c r="O172" s="23">
        <f t="shared" si="75"/>
        <v>0</v>
      </c>
      <c r="P172" s="23">
        <f t="shared" si="75"/>
        <v>0</v>
      </c>
      <c r="Q172" s="23">
        <f t="shared" si="75"/>
        <v>0</v>
      </c>
      <c r="R172" s="23">
        <f t="shared" si="75"/>
        <v>0</v>
      </c>
      <c r="S172" s="23">
        <f t="shared" si="75"/>
        <v>925680</v>
      </c>
      <c r="T172" s="23">
        <f t="shared" si="75"/>
        <v>0</v>
      </c>
    </row>
    <row r="173" spans="1:20" s="1" customFormat="1" ht="12">
      <c r="A173" s="96" t="s">
        <v>206</v>
      </c>
      <c r="B173" s="111" t="s">
        <v>53</v>
      </c>
      <c r="C173" s="214" t="s">
        <v>0</v>
      </c>
      <c r="D173" s="300">
        <f>SUMPRODUCT(E173:T173,$E$183:$T$183)</f>
        <v>4122999.6251981342</v>
      </c>
      <c r="E173" s="23">
        <f t="shared" ref="E173:T173" si="76">E164</f>
        <v>0</v>
      </c>
      <c r="F173" s="23">
        <f t="shared" si="76"/>
        <v>0</v>
      </c>
      <c r="G173" s="23">
        <f t="shared" si="76"/>
        <v>0</v>
      </c>
      <c r="H173" s="23">
        <f t="shared" si="76"/>
        <v>0</v>
      </c>
      <c r="I173" s="23">
        <f t="shared" si="76"/>
        <v>0</v>
      </c>
      <c r="J173" s="23">
        <f t="shared" si="76"/>
        <v>0</v>
      </c>
      <c r="K173" s="23">
        <f t="shared" si="76"/>
        <v>0</v>
      </c>
      <c r="L173" s="23">
        <f t="shared" si="76"/>
        <v>0</v>
      </c>
      <c r="M173" s="23">
        <f t="shared" si="76"/>
        <v>0</v>
      </c>
      <c r="N173" s="23">
        <f t="shared" si="76"/>
        <v>0</v>
      </c>
      <c r="O173" s="23">
        <f t="shared" si="76"/>
        <v>0</v>
      </c>
      <c r="P173" s="23">
        <f t="shared" si="76"/>
        <v>0</v>
      </c>
      <c r="Q173" s="23">
        <f t="shared" si="76"/>
        <v>0</v>
      </c>
      <c r="R173" s="23">
        <f t="shared" si="76"/>
        <v>0</v>
      </c>
      <c r="S173" s="23">
        <f t="shared" si="76"/>
        <v>0</v>
      </c>
      <c r="T173" s="23">
        <f t="shared" si="76"/>
        <v>7979168.7875173483</v>
      </c>
    </row>
    <row r="174" spans="1:20" s="1" customFormat="1" ht="12">
      <c r="A174" s="108" t="s">
        <v>31</v>
      </c>
      <c r="B174" s="118" t="s">
        <v>98</v>
      </c>
      <c r="C174" s="214" t="s">
        <v>0</v>
      </c>
      <c r="D174" s="302">
        <f>SUM(E174:T174)</f>
        <v>2281322.3365993411</v>
      </c>
      <c r="E174" s="22">
        <f>E175+E176+E177</f>
        <v>0</v>
      </c>
      <c r="F174" s="22">
        <f t="shared" ref="F174:T174" si="77">F175+F176+F177</f>
        <v>241.66503596879193</v>
      </c>
      <c r="G174" s="22">
        <f t="shared" si="77"/>
        <v>250.47357683972223</v>
      </c>
      <c r="H174" s="22">
        <f t="shared" si="77"/>
        <v>258.12311694858363</v>
      </c>
      <c r="I174" s="22">
        <f t="shared" si="77"/>
        <v>265.66554245408042</v>
      </c>
      <c r="J174" s="22">
        <f t="shared" si="77"/>
        <v>273.42872403506772</v>
      </c>
      <c r="K174" s="22">
        <f t="shared" si="77"/>
        <v>281.42146198306</v>
      </c>
      <c r="L174" s="22">
        <f t="shared" si="77"/>
        <v>191216.84256172902</v>
      </c>
      <c r="M174" s="22">
        <f t="shared" si="77"/>
        <v>202179.20336126961</v>
      </c>
      <c r="N174" s="22">
        <f t="shared" si="77"/>
        <v>213244.45015657978</v>
      </c>
      <c r="O174" s="22">
        <f t="shared" si="77"/>
        <v>230903.89469656296</v>
      </c>
      <c r="P174" s="22">
        <f t="shared" si="77"/>
        <v>249132.15291670663</v>
      </c>
      <c r="Q174" s="22">
        <f t="shared" si="77"/>
        <v>267917.98820480047</v>
      </c>
      <c r="R174" s="22">
        <f t="shared" si="77"/>
        <v>287248.44276347163</v>
      </c>
      <c r="S174" s="22">
        <f t="shared" si="77"/>
        <v>307108.61543679319</v>
      </c>
      <c r="T174" s="22">
        <f t="shared" si="77"/>
        <v>330799.96904319857</v>
      </c>
    </row>
    <row r="175" spans="1:20" s="1" customFormat="1" ht="14.25" customHeight="1">
      <c r="A175" s="96" t="s">
        <v>89</v>
      </c>
      <c r="B175" s="124" t="s">
        <v>101</v>
      </c>
      <c r="C175" s="214" t="s">
        <v>0</v>
      </c>
      <c r="D175" s="300">
        <f>SUMPRODUCT(E175:T175,$E$183:$T$183)</f>
        <v>53171.980321204319</v>
      </c>
      <c r="E175" s="23">
        <f>-(E60-'Scenariusz bazowy'!E60)</f>
        <v>0</v>
      </c>
      <c r="F175" s="23">
        <f>-(F60-'Scenariusz bazowy'!F60)</f>
        <v>47.899612607288873</v>
      </c>
      <c r="G175" s="23">
        <f>-(G60-'Scenariusz bazowy'!G60)</f>
        <v>49.739224837947404</v>
      </c>
      <c r="H175" s="23">
        <f>-(H60-'Scenariusz bazowy'!H60)</f>
        <v>51.297293351730332</v>
      </c>
      <c r="I175" s="23">
        <f>-(I60-'Scenariusz bazowy'!I60)</f>
        <v>52.829341655131429</v>
      </c>
      <c r="J175" s="23">
        <f>-(J60-'Scenariusz bazowy'!J60)</f>
        <v>54.415015881997533</v>
      </c>
      <c r="K175" s="23">
        <f>-(K60-'Scenariusz bazowy'!K60)</f>
        <v>56.056453793251421</v>
      </c>
      <c r="L175" s="23">
        <f>-(L60-'Scenariusz bazowy'!L60)</f>
        <v>-4660.6209074687795</v>
      </c>
      <c r="M175" s="23">
        <f>-(M60-'Scenariusz bazowy'!M60)</f>
        <v>-3195.3756916854181</v>
      </c>
      <c r="N175" s="23">
        <f>-(N60-'Scenariusz bazowy'!N60)</f>
        <v>-1639.3421400143416</v>
      </c>
      <c r="O175" s="23">
        <f>-(O60-'Scenariusz bazowy'!O60)</f>
        <v>3473.9836608109181</v>
      </c>
      <c r="P175" s="23">
        <f>-(P60-'Scenariusz bazowy'!P60)</f>
        <v>8848.1240706418175</v>
      </c>
      <c r="Q175" s="23">
        <f>-(Q60-'Scenariusz bazowy'!Q60)</f>
        <v>14482.676185664837</v>
      </c>
      <c r="R175" s="23">
        <f>-(R60-'Scenariusz bazowy'!R60)</f>
        <v>20376.304241678212</v>
      </c>
      <c r="S175" s="23">
        <f>-(S60-'Scenariusz bazowy'!S60)</f>
        <v>26526.647786245972</v>
      </c>
      <c r="T175" s="23">
        <f>-(T60-'Scenariusz bazowy'!T60)</f>
        <v>34116.904709080874</v>
      </c>
    </row>
    <row r="176" spans="1:20" s="1" customFormat="1" ht="12">
      <c r="A176" s="96" t="s">
        <v>102</v>
      </c>
      <c r="B176" s="124" t="s">
        <v>99</v>
      </c>
      <c r="C176" s="214" t="s">
        <v>0</v>
      </c>
      <c r="D176" s="300">
        <f>SUMPRODUCT(E176:T176,$E$183:$T$183)</f>
        <v>-118614.60075545256</v>
      </c>
      <c r="E176" s="23">
        <f>-(E43-'Scenariusz bazowy'!E43)</f>
        <v>0</v>
      </c>
      <c r="F176" s="23">
        <f>-(F43-'Scenariusz bazowy'!F43)</f>
        <v>44.481848421215545</v>
      </c>
      <c r="G176" s="23">
        <f>-(G43-'Scenariusz bazowy'!G43)</f>
        <v>45.717455321777379</v>
      </c>
      <c r="H176" s="23">
        <f>-(H43-'Scenariusz bazowy'!H43)</f>
        <v>46.953062222397421</v>
      </c>
      <c r="I176" s="23">
        <f>-(I43-'Scenariusz bazowy'!I43)</f>
        <v>48.188669122959254</v>
      </c>
      <c r="J176" s="23">
        <f>-(J43-'Scenariusz bazowy'!J43)</f>
        <v>49.424276023550192</v>
      </c>
      <c r="K176" s="23">
        <f>-(K43-'Scenariusz bazowy'!K43)</f>
        <v>50.659882924170233</v>
      </c>
      <c r="L176" s="23">
        <f>-(L43-'Scenariusz bazowy'!L43)</f>
        <v>-39734.483449746331</v>
      </c>
      <c r="M176" s="23">
        <f>-(M43-'Scenariusz bazowy'!M43)</f>
        <v>-37037.497653612983</v>
      </c>
      <c r="N176" s="23">
        <f>-(N43-'Scenariusz bazowy'!N43)</f>
        <v>-34171.067907438264</v>
      </c>
      <c r="O176" s="23">
        <f>-(O43-'Scenariusz bazowy'!O43)</f>
        <v>-28085.203110477771</v>
      </c>
      <c r="P176" s="23">
        <f>-(P43-'Scenariusz bazowy'!P43)</f>
        <v>-21694.339203442796</v>
      </c>
      <c r="Q176" s="23">
        <f>-(Q43-'Scenariusz bazowy'!Q43)</f>
        <v>-14998.476186333282</v>
      </c>
      <c r="R176" s="23">
        <f>-(R43-'Scenariusz bazowy'!R43)</f>
        <v>-7997.6140591494041</v>
      </c>
      <c r="S176" s="23">
        <f>-(S43-'Scenariusz bazowy'!S43)</f>
        <v>-691.75282189104473</v>
      </c>
      <c r="T176" s="23">
        <f>-(T43-'Scenariusz bazowy'!T43)</f>
        <v>8825.3519634070108</v>
      </c>
    </row>
    <row r="177" spans="1:30" s="1" customFormat="1" ht="12">
      <c r="A177" s="96" t="s">
        <v>103</v>
      </c>
      <c r="B177" s="124" t="s">
        <v>100</v>
      </c>
      <c r="C177" s="214" t="s">
        <v>0</v>
      </c>
      <c r="D177" s="300">
        <f>SUMPRODUCT(E177:T177,$E$183:$T$183)</f>
        <v>1451991.3098402394</v>
      </c>
      <c r="E177" s="23">
        <f>-(E91-'Scenariusz bazowy'!E91)</f>
        <v>0</v>
      </c>
      <c r="F177" s="23">
        <f>-(F91-'Scenariusz bazowy'!F91)</f>
        <v>149.28357494028751</v>
      </c>
      <c r="G177" s="23">
        <f>-(G91-'Scenariusz bazowy'!G91)</f>
        <v>155.01689667999744</v>
      </c>
      <c r="H177" s="23">
        <f>-(H91-'Scenariusz bazowy'!H91)</f>
        <v>159.87276137445588</v>
      </c>
      <c r="I177" s="23">
        <f>-(I91-'Scenariusz bazowy'!I91)</f>
        <v>164.64753167598974</v>
      </c>
      <c r="J177" s="23">
        <f>-(J91-'Scenariusz bazowy'!J91)</f>
        <v>169.58943212951999</v>
      </c>
      <c r="K177" s="23">
        <f>-(K91-'Scenariusz bazowy'!K91)</f>
        <v>174.70512526563834</v>
      </c>
      <c r="L177" s="23">
        <f>-(L91-'Scenariusz bazowy'!L91)</f>
        <v>235611.94691894413</v>
      </c>
      <c r="M177" s="23">
        <f>-(M91-'Scenariusz bazowy'!M91)</f>
        <v>242412.07670656801</v>
      </c>
      <c r="N177" s="23">
        <f>-(N91-'Scenariusz bazowy'!N91)</f>
        <v>249054.86020403239</v>
      </c>
      <c r="O177" s="23">
        <f>-(O91-'Scenariusz bazowy'!O91)</f>
        <v>255515.11414622981</v>
      </c>
      <c r="P177" s="23">
        <f>-(P91-'Scenariusz bazowy'!P91)</f>
        <v>261978.36804950761</v>
      </c>
      <c r="Q177" s="23">
        <f>-(Q91-'Scenariusz bazowy'!Q91)</f>
        <v>268433.78820546891</v>
      </c>
      <c r="R177" s="23">
        <f>-(R91-'Scenariusz bazowy'!R91)</f>
        <v>274869.75258094282</v>
      </c>
      <c r="S177" s="23">
        <f>-(S91-'Scenariusz bazowy'!S91)</f>
        <v>281273.72047243826</v>
      </c>
      <c r="T177" s="23">
        <f>-(T91-'Scenariusz bazowy'!T91)</f>
        <v>287857.71237071068</v>
      </c>
    </row>
    <row r="178" spans="1:30" s="13" customFormat="1" ht="12">
      <c r="A178" s="108" t="s">
        <v>32</v>
      </c>
      <c r="B178" s="118" t="s">
        <v>104</v>
      </c>
      <c r="C178" s="301" t="s">
        <v>0</v>
      </c>
      <c r="D178" s="301"/>
      <c r="E178" s="22">
        <f>-E179+E180+E181+E182</f>
        <v>0</v>
      </c>
      <c r="F178" s="22">
        <f t="shared" ref="F178:T178" si="78">-F179+F180+F181+F182</f>
        <v>662.32246702208772</v>
      </c>
      <c r="G178" s="22">
        <f t="shared" si="78"/>
        <v>679.40434771277705</v>
      </c>
      <c r="H178" s="22">
        <f t="shared" si="78"/>
        <v>695.32722764139771</v>
      </c>
      <c r="I178" s="22">
        <f t="shared" si="78"/>
        <v>711.14299296955937</v>
      </c>
      <c r="J178" s="22">
        <f t="shared" si="78"/>
        <v>727.1795143703057</v>
      </c>
      <c r="K178" s="22">
        <f t="shared" si="78"/>
        <v>-37661601.498496339</v>
      </c>
      <c r="L178" s="22">
        <f t="shared" si="78"/>
        <v>804372.31470281619</v>
      </c>
      <c r="M178" s="22">
        <f t="shared" si="78"/>
        <v>825925.71463627275</v>
      </c>
      <c r="N178" s="22">
        <f t="shared" si="78"/>
        <v>847582.00056550186</v>
      </c>
      <c r="O178" s="22">
        <f t="shared" si="78"/>
        <v>875832.48423939815</v>
      </c>
      <c r="P178" s="22">
        <f t="shared" si="78"/>
        <v>904651.78159346059</v>
      </c>
      <c r="Q178" s="22">
        <f t="shared" si="78"/>
        <v>11113028.656015469</v>
      </c>
      <c r="R178" s="22">
        <f t="shared" si="78"/>
        <v>666293.82145229785</v>
      </c>
      <c r="S178" s="22">
        <f t="shared" si="78"/>
        <v>-18620734.966740467</v>
      </c>
      <c r="T178" s="22">
        <f t="shared" si="78"/>
        <v>8920713.8169316445</v>
      </c>
    </row>
    <row r="179" spans="1:30" s="13" customFormat="1" ht="12">
      <c r="A179" s="96" t="s">
        <v>109</v>
      </c>
      <c r="B179" s="111" t="s">
        <v>112</v>
      </c>
      <c r="C179" s="214" t="s">
        <v>0</v>
      </c>
      <c r="D179" s="301"/>
      <c r="E179" s="23">
        <f>E170+E171+E172</f>
        <v>0</v>
      </c>
      <c r="F179" s="23">
        <f t="shared" ref="F179:T179" si="79">F170+F171+F172</f>
        <v>-420.65743105329574</v>
      </c>
      <c r="G179" s="23">
        <f t="shared" si="79"/>
        <v>-428.93077087305488</v>
      </c>
      <c r="H179" s="23">
        <f t="shared" si="79"/>
        <v>-437.20411069281403</v>
      </c>
      <c r="I179" s="23">
        <f t="shared" si="79"/>
        <v>-445.47745051547889</v>
      </c>
      <c r="J179" s="23">
        <f t="shared" si="79"/>
        <v>-453.75079033523798</v>
      </c>
      <c r="K179" s="23">
        <f t="shared" si="79"/>
        <v>37661882.919958323</v>
      </c>
      <c r="L179" s="23">
        <f t="shared" si="79"/>
        <v>-613155.47214108717</v>
      </c>
      <c r="M179" s="23">
        <f t="shared" si="79"/>
        <v>-623746.51127500308</v>
      </c>
      <c r="N179" s="23">
        <f t="shared" si="79"/>
        <v>-634337.55040892202</v>
      </c>
      <c r="O179" s="23">
        <f t="shared" si="79"/>
        <v>-644928.58954283514</v>
      </c>
      <c r="P179" s="23">
        <f t="shared" si="79"/>
        <v>-655519.62867675396</v>
      </c>
      <c r="Q179" s="23">
        <f t="shared" si="79"/>
        <v>-10845110.667810669</v>
      </c>
      <c r="R179" s="23">
        <f t="shared" si="79"/>
        <v>-379045.37868882628</v>
      </c>
      <c r="S179" s="23">
        <f t="shared" si="79"/>
        <v>18927843.582177259</v>
      </c>
      <c r="T179" s="23">
        <f t="shared" si="79"/>
        <v>-610745.06037109671</v>
      </c>
    </row>
    <row r="180" spans="1:30" s="13" customFormat="1" ht="12">
      <c r="A180" s="96" t="s">
        <v>110</v>
      </c>
      <c r="B180" s="111" t="s">
        <v>53</v>
      </c>
      <c r="C180" s="214" t="s">
        <v>0</v>
      </c>
      <c r="D180" s="301"/>
      <c r="E180" s="23">
        <f t="shared" ref="E180:T180" si="80">E173</f>
        <v>0</v>
      </c>
      <c r="F180" s="23">
        <f t="shared" si="80"/>
        <v>0</v>
      </c>
      <c r="G180" s="23">
        <f t="shared" si="80"/>
        <v>0</v>
      </c>
      <c r="H180" s="23">
        <f t="shared" si="80"/>
        <v>0</v>
      </c>
      <c r="I180" s="23">
        <f t="shared" si="80"/>
        <v>0</v>
      </c>
      <c r="J180" s="23">
        <f t="shared" si="80"/>
        <v>0</v>
      </c>
      <c r="K180" s="23">
        <f t="shared" si="80"/>
        <v>0</v>
      </c>
      <c r="L180" s="23">
        <f t="shared" si="80"/>
        <v>0</v>
      </c>
      <c r="M180" s="23">
        <f t="shared" si="80"/>
        <v>0</v>
      </c>
      <c r="N180" s="23">
        <f t="shared" si="80"/>
        <v>0</v>
      </c>
      <c r="O180" s="23">
        <f t="shared" si="80"/>
        <v>0</v>
      </c>
      <c r="P180" s="23">
        <f t="shared" si="80"/>
        <v>0</v>
      </c>
      <c r="Q180" s="23">
        <f t="shared" si="80"/>
        <v>0</v>
      </c>
      <c r="R180" s="23">
        <f t="shared" si="80"/>
        <v>0</v>
      </c>
      <c r="S180" s="23">
        <f t="shared" si="80"/>
        <v>0</v>
      </c>
      <c r="T180" s="23">
        <f t="shared" si="80"/>
        <v>7979168.7875173483</v>
      </c>
    </row>
    <row r="181" spans="1:30" s="13" customFormat="1" ht="12">
      <c r="A181" s="96" t="s">
        <v>113</v>
      </c>
      <c r="B181" s="111" t="s">
        <v>107</v>
      </c>
      <c r="C181" s="214" t="s">
        <v>0</v>
      </c>
      <c r="D181" s="301"/>
      <c r="E181" s="23">
        <f t="shared" ref="E181:T181" si="81">SUMIF(E175:E177,"&gt;0")</f>
        <v>0</v>
      </c>
      <c r="F181" s="23">
        <f t="shared" si="81"/>
        <v>241.66503596879193</v>
      </c>
      <c r="G181" s="23">
        <f t="shared" si="81"/>
        <v>250.47357683972223</v>
      </c>
      <c r="H181" s="23">
        <f t="shared" si="81"/>
        <v>258.12311694858363</v>
      </c>
      <c r="I181" s="23">
        <f t="shared" si="81"/>
        <v>265.66554245408042</v>
      </c>
      <c r="J181" s="23">
        <f t="shared" si="81"/>
        <v>273.42872403506772</v>
      </c>
      <c r="K181" s="23">
        <f t="shared" si="81"/>
        <v>281.42146198306</v>
      </c>
      <c r="L181" s="23">
        <f t="shared" si="81"/>
        <v>235611.94691894413</v>
      </c>
      <c r="M181" s="23">
        <f t="shared" si="81"/>
        <v>242412.07670656801</v>
      </c>
      <c r="N181" s="23">
        <f t="shared" si="81"/>
        <v>249054.86020403239</v>
      </c>
      <c r="O181" s="23">
        <f t="shared" si="81"/>
        <v>258989.09780704073</v>
      </c>
      <c r="P181" s="23">
        <f t="shared" si="81"/>
        <v>270826.49212014943</v>
      </c>
      <c r="Q181" s="23">
        <f t="shared" si="81"/>
        <v>282916.46439113375</v>
      </c>
      <c r="R181" s="23">
        <f t="shared" si="81"/>
        <v>295246.05682262103</v>
      </c>
      <c r="S181" s="23">
        <f t="shared" si="81"/>
        <v>307800.36825868423</v>
      </c>
      <c r="T181" s="23">
        <f t="shared" si="81"/>
        <v>330799.96904319857</v>
      </c>
    </row>
    <row r="182" spans="1:30" s="13" customFormat="1" ht="12">
      <c r="A182" s="96" t="s">
        <v>114</v>
      </c>
      <c r="B182" s="111" t="s">
        <v>108</v>
      </c>
      <c r="C182" s="214" t="s">
        <v>0</v>
      </c>
      <c r="D182" s="301"/>
      <c r="E182" s="23">
        <f t="shared" ref="E182:T182" si="82">SUMIF(E175:E177,"&lt;0")</f>
        <v>0</v>
      </c>
      <c r="F182" s="23">
        <f t="shared" si="82"/>
        <v>0</v>
      </c>
      <c r="G182" s="23">
        <f t="shared" si="82"/>
        <v>0</v>
      </c>
      <c r="H182" s="23">
        <f t="shared" si="82"/>
        <v>0</v>
      </c>
      <c r="I182" s="23">
        <f t="shared" si="82"/>
        <v>0</v>
      </c>
      <c r="J182" s="23">
        <f t="shared" si="82"/>
        <v>0</v>
      </c>
      <c r="K182" s="23">
        <f t="shared" si="82"/>
        <v>0</v>
      </c>
      <c r="L182" s="23">
        <f t="shared" si="82"/>
        <v>-44395.10435721511</v>
      </c>
      <c r="M182" s="23">
        <f t="shared" si="82"/>
        <v>-40232.873345298402</v>
      </c>
      <c r="N182" s="23">
        <f t="shared" si="82"/>
        <v>-35810.410047452606</v>
      </c>
      <c r="O182" s="23">
        <f t="shared" si="82"/>
        <v>-28085.203110477771</v>
      </c>
      <c r="P182" s="23">
        <f t="shared" si="82"/>
        <v>-21694.339203442796</v>
      </c>
      <c r="Q182" s="23">
        <f t="shared" si="82"/>
        <v>-14998.476186333282</v>
      </c>
      <c r="R182" s="23">
        <f t="shared" si="82"/>
        <v>-7997.6140591494041</v>
      </c>
      <c r="S182" s="23">
        <f t="shared" si="82"/>
        <v>-691.75282189104473</v>
      </c>
      <c r="T182" s="23">
        <f t="shared" si="82"/>
        <v>0</v>
      </c>
    </row>
    <row r="183" spans="1:30" s="1" customFormat="1" ht="12">
      <c r="A183" s="108" t="s">
        <v>36</v>
      </c>
      <c r="B183" s="118" t="s">
        <v>88</v>
      </c>
      <c r="C183" s="214" t="s">
        <v>90</v>
      </c>
      <c r="D183" s="214"/>
      <c r="E183" s="34">
        <v>1</v>
      </c>
      <c r="F183" s="34">
        <f t="shared" ref="F183:T183" si="83">(1/(1+F184)^F159)</f>
        <v>0.95693779904306231</v>
      </c>
      <c r="G183" s="34">
        <f t="shared" si="83"/>
        <v>0.91572995123738021</v>
      </c>
      <c r="H183" s="34">
        <f t="shared" si="83"/>
        <v>0.87629660405490928</v>
      </c>
      <c r="I183" s="34">
        <f t="shared" si="83"/>
        <v>0.83856134359321488</v>
      </c>
      <c r="J183" s="34">
        <f t="shared" si="83"/>
        <v>0.80245104650068411</v>
      </c>
      <c r="K183" s="34">
        <f t="shared" si="83"/>
        <v>0.76789573827816682</v>
      </c>
      <c r="L183" s="34">
        <f t="shared" si="83"/>
        <v>0.73482845768245619</v>
      </c>
      <c r="M183" s="34">
        <f t="shared" si="83"/>
        <v>0.70318512696885782</v>
      </c>
      <c r="N183" s="34">
        <f t="shared" si="83"/>
        <v>0.67290442772139514</v>
      </c>
      <c r="O183" s="34">
        <f t="shared" si="83"/>
        <v>0.64392768203004325</v>
      </c>
      <c r="P183" s="34">
        <f t="shared" si="83"/>
        <v>0.61619873878473042</v>
      </c>
      <c r="Q183" s="34">
        <f t="shared" si="83"/>
        <v>0.58966386486577083</v>
      </c>
      <c r="R183" s="34">
        <f t="shared" si="83"/>
        <v>0.56427164101987637</v>
      </c>
      <c r="S183" s="34">
        <f t="shared" si="83"/>
        <v>0.53997286221997753</v>
      </c>
      <c r="T183" s="34">
        <f t="shared" si="83"/>
        <v>0.51672044231576797</v>
      </c>
    </row>
    <row r="184" spans="1:30" s="1" customFormat="1" ht="12">
      <c r="A184" s="96" t="s">
        <v>111</v>
      </c>
      <c r="B184" s="111" t="s">
        <v>105</v>
      </c>
      <c r="C184" s="214" t="s">
        <v>1</v>
      </c>
      <c r="D184" s="214"/>
      <c r="E184" s="35">
        <f>Założenia!E17</f>
        <v>4.4999999999999998E-2</v>
      </c>
      <c r="F184" s="35">
        <f>Założenia!F17</f>
        <v>4.4999999999999998E-2</v>
      </c>
      <c r="G184" s="35">
        <f>Założenia!G17</f>
        <v>4.4999999999999998E-2</v>
      </c>
      <c r="H184" s="35">
        <f>Założenia!H17</f>
        <v>4.4999999999999998E-2</v>
      </c>
      <c r="I184" s="35">
        <f>Założenia!I17</f>
        <v>4.4999999999999998E-2</v>
      </c>
      <c r="J184" s="35">
        <f>Założenia!J17</f>
        <v>4.4999999999999998E-2</v>
      </c>
      <c r="K184" s="35">
        <f>Założenia!K17</f>
        <v>4.4999999999999998E-2</v>
      </c>
      <c r="L184" s="35">
        <f>Założenia!L17</f>
        <v>4.4999999999999998E-2</v>
      </c>
      <c r="M184" s="35">
        <f>Założenia!M17</f>
        <v>4.4999999999999998E-2</v>
      </c>
      <c r="N184" s="35">
        <f>Założenia!N17</f>
        <v>4.4999999999999998E-2</v>
      </c>
      <c r="O184" s="35">
        <f>Założenia!O17</f>
        <v>4.4999999999999998E-2</v>
      </c>
      <c r="P184" s="35">
        <f>Założenia!P17</f>
        <v>4.4999999999999998E-2</v>
      </c>
      <c r="Q184" s="35">
        <f>Założenia!Q17</f>
        <v>4.4999999999999998E-2</v>
      </c>
      <c r="R184" s="35">
        <f>Założenia!R17</f>
        <v>4.4999999999999998E-2</v>
      </c>
      <c r="S184" s="35">
        <f>Założenia!S17</f>
        <v>4.4999999999999998E-2</v>
      </c>
      <c r="T184" s="35">
        <f>Założenia!T17</f>
        <v>4.4999999999999998E-2</v>
      </c>
    </row>
    <row r="185" spans="1:30" s="13" customFormat="1" ht="12">
      <c r="A185" s="108" t="s">
        <v>37</v>
      </c>
      <c r="B185" s="118" t="s">
        <v>106</v>
      </c>
      <c r="C185" s="301" t="s">
        <v>0</v>
      </c>
      <c r="D185" s="301"/>
      <c r="E185" s="116">
        <f>E178*E183</f>
        <v>0</v>
      </c>
      <c r="F185" s="116">
        <f>F178*F183</f>
        <v>633.80140384888784</v>
      </c>
      <c r="G185" s="116">
        <f>G178*G183</f>
        <v>622.15091020148543</v>
      </c>
      <c r="H185" s="116">
        <f t="shared" ref="H185:T185" si="84">H178*H183</f>
        <v>609.31288828907168</v>
      </c>
      <c r="I185" s="116">
        <f t="shared" si="84"/>
        <v>596.33702367145384</v>
      </c>
      <c r="J185" s="116">
        <f t="shared" si="84"/>
        <v>583.52596230031111</v>
      </c>
      <c r="K185" s="116">
        <f t="shared" si="84"/>
        <v>-28920183.287425961</v>
      </c>
      <c r="L185" s="116">
        <f t="shared" si="84"/>
        <v>591075.66741553776</v>
      </c>
      <c r="M185" s="116">
        <f t="shared" si="84"/>
        <v>580778.67851335206</v>
      </c>
      <c r="N185" s="116">
        <f t="shared" si="84"/>
        <v>570341.6810374842</v>
      </c>
      <c r="O185" s="116">
        <f t="shared" si="84"/>
        <v>563972.78142289002</v>
      </c>
      <c r="P185" s="116">
        <f t="shared" si="84"/>
        <v>557445.2868572498</v>
      </c>
      <c r="Q185" s="116">
        <f t="shared" si="84"/>
        <v>6552951.4276701445</v>
      </c>
      <c r="R185" s="116">
        <f t="shared" si="84"/>
        <v>375970.7080322926</v>
      </c>
      <c r="S185" s="116">
        <f t="shared" si="84"/>
        <v>-10054691.556630468</v>
      </c>
      <c r="T185" s="116">
        <f t="shared" si="84"/>
        <v>4609515.1892573023</v>
      </c>
    </row>
    <row r="186" spans="1:30" s="32" customFormat="1" ht="12">
      <c r="A186" s="108" t="s">
        <v>38</v>
      </c>
      <c r="B186" s="117" t="s">
        <v>68</v>
      </c>
      <c r="C186" s="105" t="s">
        <v>0</v>
      </c>
      <c r="D186" s="105"/>
      <c r="E186" s="596">
        <f>SUM(E185:T185)</f>
        <v>-24569778.295661867</v>
      </c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</row>
    <row r="187" spans="1:30" s="32" customFormat="1" ht="12">
      <c r="A187" s="108" t="s">
        <v>39</v>
      </c>
      <c r="B187" s="117" t="s">
        <v>91</v>
      </c>
      <c r="C187" s="105" t="s">
        <v>1</v>
      </c>
      <c r="D187" s="105"/>
      <c r="E187" s="332">
        <f>IRR(E178:T178)</f>
        <v>7.7064390361202779</v>
      </c>
      <c r="F187" s="599" t="s">
        <v>403</v>
      </c>
      <c r="G187" s="120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</row>
    <row r="188" spans="1:30" s="123" customFormat="1" ht="12">
      <c r="A188" s="46" t="s">
        <v>40</v>
      </c>
      <c r="B188" s="117" t="s">
        <v>66</v>
      </c>
      <c r="C188" s="105" t="s">
        <v>90</v>
      </c>
      <c r="D188" s="105"/>
      <c r="E188" s="597">
        <f>(D173-D171+D175+D177)/(D170+D172-D176)</f>
        <v>0.26809723555686804</v>
      </c>
      <c r="F188" s="119"/>
      <c r="G188" s="120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</row>
    <row r="189" spans="1:30" s="123" customFormat="1" ht="12">
      <c r="A189" s="46"/>
      <c r="B189" s="122"/>
      <c r="C189" s="37"/>
      <c r="D189" s="37"/>
      <c r="E189" s="121"/>
      <c r="F189" s="119"/>
      <c r="G189" s="120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</row>
    <row r="190" spans="1:30" s="1" customFormat="1" ht="12">
      <c r="A190" s="358" t="s">
        <v>333</v>
      </c>
      <c r="B190" s="86" t="s">
        <v>320</v>
      </c>
      <c r="E190" s="359">
        <v>0</v>
      </c>
      <c r="F190" s="359">
        <f>E190+1</f>
        <v>1</v>
      </c>
      <c r="G190" s="359">
        <f t="shared" ref="G190:T190" si="85">F190+1</f>
        <v>2</v>
      </c>
      <c r="H190" s="359">
        <f t="shared" si="85"/>
        <v>3</v>
      </c>
      <c r="I190" s="359">
        <f t="shared" si="85"/>
        <v>4</v>
      </c>
      <c r="J190" s="359">
        <f t="shared" si="85"/>
        <v>5</v>
      </c>
      <c r="K190" s="359">
        <f t="shared" si="85"/>
        <v>6</v>
      </c>
      <c r="L190" s="359">
        <f t="shared" si="85"/>
        <v>7</v>
      </c>
      <c r="M190" s="359">
        <f t="shared" si="85"/>
        <v>8</v>
      </c>
      <c r="N190" s="359">
        <f t="shared" si="85"/>
        <v>9</v>
      </c>
      <c r="O190" s="359">
        <f t="shared" si="85"/>
        <v>10</v>
      </c>
      <c r="P190" s="359">
        <f t="shared" si="85"/>
        <v>11</v>
      </c>
      <c r="Q190" s="359">
        <f t="shared" si="85"/>
        <v>12</v>
      </c>
      <c r="R190" s="359">
        <f t="shared" si="85"/>
        <v>13</v>
      </c>
      <c r="S190" s="359">
        <f t="shared" si="85"/>
        <v>14</v>
      </c>
      <c r="T190" s="359">
        <f t="shared" si="85"/>
        <v>15</v>
      </c>
      <c r="U190" s="234"/>
      <c r="V190" s="234"/>
      <c r="W190" s="234"/>
      <c r="X190" s="234"/>
      <c r="Y190" s="234"/>
      <c r="Z190" s="234"/>
      <c r="AA190" s="234"/>
      <c r="AB190" s="234"/>
      <c r="AC190" s="234"/>
      <c r="AD190" s="234"/>
    </row>
    <row r="191" spans="1:30" s="123" customFormat="1" ht="12">
      <c r="A191" s="46"/>
      <c r="B191" s="122"/>
      <c r="C191" s="37"/>
      <c r="D191" s="37"/>
      <c r="E191" s="121"/>
      <c r="F191" s="119"/>
      <c r="G191" s="120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</row>
    <row r="192" spans="1:30" s="32" customFormat="1" ht="12">
      <c r="A192" s="96" t="s">
        <v>321</v>
      </c>
      <c r="B192" s="111" t="s">
        <v>322</v>
      </c>
      <c r="C192" s="105"/>
      <c r="D192" s="360"/>
      <c r="E192" s="361"/>
      <c r="F192" s="361"/>
      <c r="G192" s="362"/>
      <c r="H192" s="361"/>
      <c r="I192" s="361"/>
      <c r="J192" s="361"/>
      <c r="K192" s="361"/>
      <c r="L192" s="361"/>
      <c r="M192" s="361"/>
      <c r="N192" s="361"/>
      <c r="O192" s="361"/>
      <c r="P192" s="361"/>
      <c r="Q192" s="361"/>
      <c r="R192" s="361"/>
      <c r="S192" s="361"/>
      <c r="T192" s="36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</row>
    <row r="193" spans="1:30" s="26" customFormat="1">
      <c r="A193" s="96" t="s">
        <v>34</v>
      </c>
      <c r="B193" s="111" t="s">
        <v>323</v>
      </c>
      <c r="C193" s="105" t="s">
        <v>0</v>
      </c>
      <c r="D193" s="363">
        <f>SUM(E193:AD193)</f>
        <v>55920119.668987334</v>
      </c>
      <c r="E193" s="364">
        <f>(Opcje!E66+Opcje!E67)*E142</f>
        <v>0</v>
      </c>
      <c r="F193" s="364">
        <f>(Opcje!F66+Opcje!F67)*F142</f>
        <v>0</v>
      </c>
      <c r="G193" s="364">
        <f>(Opcje!G66+Opcje!G67)*G142</f>
        <v>0</v>
      </c>
      <c r="H193" s="364">
        <f>(Opcje!H66+Opcje!H67)*H142</f>
        <v>0</v>
      </c>
      <c r="I193" s="364">
        <f>(Opcje!I66+Opcje!I67)*I142</f>
        <v>0</v>
      </c>
      <c r="J193" s="364">
        <f>(Opcje!J66+Opcje!J67)*J142</f>
        <v>0</v>
      </c>
      <c r="K193" s="364">
        <f>(Opcje!K66+Opcje!K67)*K142</f>
        <v>43712296.418134362</v>
      </c>
      <c r="L193" s="364">
        <f>(Opcje!L66+Opcje!L67)*L142</f>
        <v>0</v>
      </c>
      <c r="M193" s="364">
        <f>(Opcje!M66+Opcje!M67)*M142</f>
        <v>0</v>
      </c>
      <c r="N193" s="364">
        <f>(Opcje!N66+Opcje!N67)*N142</f>
        <v>0</v>
      </c>
      <c r="O193" s="364">
        <f>(Opcje!O66+Opcje!O67)*O142</f>
        <v>0</v>
      </c>
      <c r="P193" s="364">
        <f>(Opcje!P66+Opcje!P67)*P142</f>
        <v>0</v>
      </c>
      <c r="Q193" s="364">
        <f>(Opcje!Q66+Opcje!Q67)*Q142</f>
        <v>0</v>
      </c>
      <c r="R193" s="364">
        <f>(Opcje!R66+Opcje!R67)*R142</f>
        <v>0</v>
      </c>
      <c r="S193" s="364">
        <f>(Opcje!S66+Opcje!S67)*S142</f>
        <v>12207823.250852974</v>
      </c>
      <c r="T193" s="364">
        <f>(Opcje!T66+Opcje!T67)*T142</f>
        <v>0</v>
      </c>
      <c r="U193" s="369"/>
      <c r="V193" s="369"/>
      <c r="W193" s="369"/>
      <c r="X193" s="369"/>
      <c r="Y193" s="369"/>
      <c r="Z193" s="369"/>
      <c r="AA193" s="369"/>
      <c r="AB193" s="369"/>
      <c r="AC193" s="369"/>
      <c r="AD193" s="369"/>
    </row>
    <row r="194" spans="1:30" s="28" customFormat="1" ht="12">
      <c r="A194" s="96" t="s">
        <v>43</v>
      </c>
      <c r="B194" s="111" t="s">
        <v>334</v>
      </c>
      <c r="C194" s="105" t="s">
        <v>0</v>
      </c>
      <c r="D194" s="363">
        <f>SUM(E194:AD194)</f>
        <v>0</v>
      </c>
      <c r="E194" s="365">
        <f>E133*E142</f>
        <v>0</v>
      </c>
      <c r="F194" s="365">
        <f t="shared" ref="F194:T194" si="86">F133*F142</f>
        <v>0</v>
      </c>
      <c r="G194" s="365">
        <f t="shared" si="86"/>
        <v>0</v>
      </c>
      <c r="H194" s="365">
        <f t="shared" si="86"/>
        <v>0</v>
      </c>
      <c r="I194" s="365">
        <f t="shared" si="86"/>
        <v>0</v>
      </c>
      <c r="J194" s="365">
        <f t="shared" si="86"/>
        <v>0</v>
      </c>
      <c r="K194" s="365">
        <f t="shared" si="86"/>
        <v>0</v>
      </c>
      <c r="L194" s="365">
        <f t="shared" si="86"/>
        <v>0</v>
      </c>
      <c r="M194" s="365">
        <f t="shared" si="86"/>
        <v>0</v>
      </c>
      <c r="N194" s="365">
        <f t="shared" si="86"/>
        <v>0</v>
      </c>
      <c r="O194" s="365">
        <f t="shared" si="86"/>
        <v>0</v>
      </c>
      <c r="P194" s="365">
        <f t="shared" si="86"/>
        <v>0</v>
      </c>
      <c r="Q194" s="365">
        <f t="shared" si="86"/>
        <v>0</v>
      </c>
      <c r="R194" s="365">
        <f t="shared" si="86"/>
        <v>0</v>
      </c>
      <c r="S194" s="365">
        <f t="shared" si="86"/>
        <v>0</v>
      </c>
      <c r="T194" s="365">
        <f t="shared" si="86"/>
        <v>0</v>
      </c>
      <c r="U194" s="370"/>
      <c r="V194" s="370"/>
      <c r="W194" s="370"/>
      <c r="X194" s="370"/>
      <c r="Y194" s="370"/>
      <c r="Z194" s="370"/>
      <c r="AA194" s="370"/>
      <c r="AB194" s="370"/>
      <c r="AC194" s="370"/>
      <c r="AD194" s="370"/>
    </row>
    <row r="195" spans="1:30" s="28" customFormat="1" ht="12">
      <c r="A195" s="96" t="s">
        <v>44</v>
      </c>
      <c r="B195" s="111" t="s">
        <v>386</v>
      </c>
      <c r="C195" s="105" t="s">
        <v>0</v>
      </c>
      <c r="D195" s="363">
        <f>SUM(E195:AD195)</f>
        <v>-3928682.8941764631</v>
      </c>
      <c r="E195" s="365">
        <f>(E136+Opcje!E68)*E142</f>
        <v>0</v>
      </c>
      <c r="F195" s="365">
        <f>(F136+Opcje!F68)*F142</f>
        <v>-518.56192190988133</v>
      </c>
      <c r="G195" s="365">
        <f>(G136+Opcje!G68)*G142</f>
        <v>-508.42385790407235</v>
      </c>
      <c r="H195" s="365">
        <f>(H136+Opcje!H68)*H142</f>
        <v>-498.29854154085541</v>
      </c>
      <c r="I195" s="365">
        <f>(I136+Opcje!I68)*I142</f>
        <v>-488.19998937162637</v>
      </c>
      <c r="J195" s="365">
        <f>(J136+Opcje!J68)*J142</f>
        <v>-478.14112088462986</v>
      </c>
      <c r="K195" s="365">
        <f>(K136+Opcje!K68)*K142</f>
        <v>-134573.42002820323</v>
      </c>
      <c r="L195" s="365">
        <f>(L136+Opcje!L68)*L142</f>
        <v>-597368.93018247897</v>
      </c>
      <c r="M195" s="365">
        <f>(M136+Opcje!M68)*M142</f>
        <v>-584314.70024718484</v>
      </c>
      <c r="N195" s="365">
        <f>(N136+Opcje!N68)*N142</f>
        <v>-571380.95999599528</v>
      </c>
      <c r="O195" s="365">
        <f>(O136+Opcje!O68)*O142</f>
        <v>-558577.75198269216</v>
      </c>
      <c r="P195" s="365">
        <f>(P136+Opcje!P68)*P142</f>
        <v>-545914.16801776062</v>
      </c>
      <c r="Q195" s="365">
        <f>(Q136+Opcje!Q68)*Q142</f>
        <v>-533398.40744660422</v>
      </c>
      <c r="R195" s="365">
        <f>(R136+Opcje!R68)*R142</f>
        <v>-291852.34860207024</v>
      </c>
      <c r="S195" s="365">
        <f>(S136+Opcje!S68)*S142</f>
        <v>325965.12574729905</v>
      </c>
      <c r="T195" s="365">
        <f>(T136+Opcje!T68)*T142</f>
        <v>-434775.70798916154</v>
      </c>
      <c r="U195" s="370"/>
      <c r="V195" s="370"/>
      <c r="W195" s="370"/>
      <c r="X195" s="370"/>
      <c r="Y195" s="370"/>
      <c r="Z195" s="370"/>
      <c r="AA195" s="370"/>
      <c r="AB195" s="370"/>
      <c r="AC195" s="370"/>
      <c r="AD195" s="370"/>
    </row>
    <row r="196" spans="1:30" s="26" customFormat="1">
      <c r="A196" s="96" t="s">
        <v>35</v>
      </c>
      <c r="B196" s="111" t="s">
        <v>324</v>
      </c>
      <c r="C196" s="105" t="s">
        <v>0</v>
      </c>
      <c r="D196" s="363">
        <f>ROUNDDOWN(SUM(E196:AD196),2)</f>
        <v>3928682.89</v>
      </c>
      <c r="E196" s="364">
        <f>E194-E195</f>
        <v>0</v>
      </c>
      <c r="F196" s="364">
        <f t="shared" ref="F196:T196" si="87">F194-F195</f>
        <v>518.56192190988133</v>
      </c>
      <c r="G196" s="364">
        <f t="shared" si="87"/>
        <v>508.42385790407235</v>
      </c>
      <c r="H196" s="364">
        <f t="shared" si="87"/>
        <v>498.29854154085541</v>
      </c>
      <c r="I196" s="364">
        <f t="shared" si="87"/>
        <v>488.19998937162637</v>
      </c>
      <c r="J196" s="364">
        <f t="shared" si="87"/>
        <v>478.14112088462986</v>
      </c>
      <c r="K196" s="364">
        <f t="shared" si="87"/>
        <v>134573.42002820323</v>
      </c>
      <c r="L196" s="364">
        <f t="shared" si="87"/>
        <v>597368.93018247897</v>
      </c>
      <c r="M196" s="364">
        <f t="shared" si="87"/>
        <v>584314.70024718484</v>
      </c>
      <c r="N196" s="364">
        <f t="shared" si="87"/>
        <v>571380.95999599528</v>
      </c>
      <c r="O196" s="364">
        <f t="shared" si="87"/>
        <v>558577.75198269216</v>
      </c>
      <c r="P196" s="364">
        <f t="shared" si="87"/>
        <v>545914.16801776062</v>
      </c>
      <c r="Q196" s="364">
        <f t="shared" si="87"/>
        <v>533398.40744660422</v>
      </c>
      <c r="R196" s="364">
        <f t="shared" si="87"/>
        <v>291852.34860207024</v>
      </c>
      <c r="S196" s="364">
        <f t="shared" si="87"/>
        <v>-325965.12574729905</v>
      </c>
      <c r="T196" s="364">
        <f t="shared" si="87"/>
        <v>434775.70798916154</v>
      </c>
      <c r="U196" s="369"/>
      <c r="V196" s="369"/>
      <c r="W196" s="369"/>
      <c r="X196" s="369"/>
      <c r="Y196" s="369"/>
      <c r="Z196" s="369"/>
      <c r="AA196" s="369"/>
      <c r="AB196" s="369"/>
      <c r="AC196" s="369"/>
      <c r="AD196" s="369"/>
    </row>
    <row r="197" spans="1:30" s="26" customFormat="1">
      <c r="A197" s="366" t="s">
        <v>30</v>
      </c>
      <c r="B197" s="111" t="s">
        <v>325</v>
      </c>
      <c r="C197" s="105" t="s">
        <v>0</v>
      </c>
      <c r="D197" s="363">
        <f>D193-D196</f>
        <v>51991436.778987333</v>
      </c>
      <c r="E197" s="364"/>
      <c r="F197" s="364"/>
      <c r="G197" s="364"/>
      <c r="H197" s="364"/>
      <c r="I197" s="364"/>
      <c r="J197" s="364"/>
      <c r="K197" s="364"/>
      <c r="L197" s="364"/>
      <c r="M197" s="364"/>
      <c r="N197" s="364"/>
      <c r="O197" s="364"/>
      <c r="P197" s="364"/>
      <c r="Q197" s="364"/>
      <c r="R197" s="364"/>
      <c r="S197" s="364"/>
      <c r="T197" s="364"/>
      <c r="U197" s="369"/>
      <c r="V197" s="369"/>
      <c r="W197" s="369"/>
      <c r="X197" s="369"/>
      <c r="Y197" s="369"/>
      <c r="Z197" s="369"/>
      <c r="AA197" s="369"/>
      <c r="AB197" s="369"/>
      <c r="AC197" s="369"/>
      <c r="AD197" s="369"/>
    </row>
    <row r="198" spans="1:30" s="26" customFormat="1">
      <c r="A198" s="96" t="s">
        <v>31</v>
      </c>
      <c r="B198" s="111" t="s">
        <v>326</v>
      </c>
      <c r="C198" s="105" t="s">
        <v>1</v>
      </c>
      <c r="D198" s="367">
        <f>IF(D197/D193&lt;=100%,D197/D193,100%)</f>
        <v>0.92974473385866507</v>
      </c>
      <c r="E198" s="364"/>
      <c r="F198" s="364"/>
      <c r="G198" s="364"/>
      <c r="H198" s="364"/>
      <c r="I198" s="364"/>
      <c r="J198" s="364"/>
      <c r="K198" s="364"/>
      <c r="L198" s="364"/>
      <c r="M198" s="364"/>
      <c r="N198" s="364"/>
      <c r="O198" s="364"/>
      <c r="P198" s="364"/>
      <c r="Q198" s="364"/>
      <c r="R198" s="364"/>
      <c r="S198" s="364"/>
      <c r="T198" s="364"/>
      <c r="U198" s="369"/>
      <c r="V198" s="369"/>
      <c r="W198" s="369"/>
      <c r="X198" s="369"/>
      <c r="Y198" s="369"/>
      <c r="Z198" s="369"/>
      <c r="AA198" s="369"/>
      <c r="AB198" s="369"/>
      <c r="AC198" s="369"/>
      <c r="AD198" s="369"/>
    </row>
    <row r="199" spans="1:30" s="32" customFormat="1" ht="12">
      <c r="A199" s="96" t="s">
        <v>327</v>
      </c>
      <c r="B199" s="111" t="s">
        <v>328</v>
      </c>
      <c r="C199" s="105"/>
      <c r="D199" s="360"/>
      <c r="E199" s="361"/>
      <c r="F199" s="361"/>
      <c r="G199" s="361"/>
      <c r="H199" s="361"/>
      <c r="I199" s="361"/>
      <c r="J199" s="361"/>
      <c r="K199" s="361"/>
      <c r="L199" s="361"/>
      <c r="M199" s="361"/>
      <c r="N199" s="361"/>
      <c r="O199" s="361"/>
      <c r="P199" s="361"/>
      <c r="Q199" s="361"/>
      <c r="R199" s="361"/>
      <c r="S199" s="361"/>
      <c r="T199" s="36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</row>
    <row r="200" spans="1:30" s="32" customFormat="1" ht="12">
      <c r="A200" s="96" t="s">
        <v>34</v>
      </c>
      <c r="B200" s="111" t="s">
        <v>329</v>
      </c>
      <c r="C200" s="105" t="s">
        <v>0</v>
      </c>
      <c r="D200" s="363">
        <f>SUM(Opcje!E66:T67)</f>
        <v>76450000</v>
      </c>
      <c r="E200" s="362"/>
      <c r="F200" s="361"/>
      <c r="G200" s="361"/>
      <c r="H200" s="361"/>
      <c r="I200" s="361"/>
      <c r="J200" s="361"/>
      <c r="K200" s="361"/>
      <c r="L200" s="361"/>
      <c r="M200" s="361"/>
      <c r="N200" s="361"/>
      <c r="O200" s="361"/>
      <c r="P200" s="361"/>
      <c r="Q200" s="361"/>
      <c r="R200" s="361"/>
      <c r="S200" s="361"/>
      <c r="T200" s="36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</row>
    <row r="201" spans="1:30" s="26" customFormat="1">
      <c r="A201" s="96" t="s">
        <v>35</v>
      </c>
      <c r="B201" s="111" t="s">
        <v>387</v>
      </c>
      <c r="C201" s="105" t="s">
        <v>0</v>
      </c>
      <c r="D201" s="363">
        <f>ROUND(D200*D198,2)</f>
        <v>71078984.900000006</v>
      </c>
      <c r="E201" s="364"/>
      <c r="F201" s="364"/>
      <c r="G201" s="364"/>
      <c r="H201" s="364"/>
      <c r="I201" s="364"/>
      <c r="J201" s="364"/>
      <c r="K201" s="364"/>
      <c r="L201" s="364"/>
      <c r="M201" s="364"/>
      <c r="N201" s="364"/>
      <c r="O201" s="364"/>
      <c r="P201" s="364"/>
      <c r="Q201" s="364"/>
      <c r="R201" s="364"/>
      <c r="S201" s="364"/>
      <c r="T201" s="364"/>
      <c r="U201" s="369"/>
      <c r="V201" s="369"/>
      <c r="W201" s="369"/>
      <c r="X201" s="369"/>
      <c r="Y201" s="369"/>
      <c r="Z201" s="369"/>
      <c r="AA201" s="369"/>
      <c r="AB201" s="369"/>
      <c r="AC201" s="369"/>
      <c r="AD201" s="369"/>
    </row>
    <row r="202" spans="1:30" s="1" customFormat="1" ht="12">
      <c r="A202" s="96" t="s">
        <v>330</v>
      </c>
      <c r="B202" s="111" t="s">
        <v>331</v>
      </c>
      <c r="C202" s="105"/>
      <c r="D202" s="360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</row>
    <row r="203" spans="1:30" s="26" customFormat="1">
      <c r="A203" s="96"/>
      <c r="B203" s="111" t="s">
        <v>332</v>
      </c>
      <c r="C203" s="105" t="s">
        <v>0</v>
      </c>
      <c r="D203" s="363">
        <f>D201*D204</f>
        <v>60417137.165000007</v>
      </c>
      <c r="E203" s="364"/>
      <c r="F203" s="364"/>
      <c r="G203" s="364"/>
      <c r="H203" s="364"/>
      <c r="I203" s="364"/>
      <c r="J203" s="364"/>
      <c r="K203" s="364"/>
      <c r="L203" s="364"/>
      <c r="M203" s="364"/>
      <c r="N203" s="364"/>
      <c r="O203" s="364"/>
      <c r="P203" s="364"/>
      <c r="Q203" s="364"/>
      <c r="R203" s="364"/>
      <c r="S203" s="364"/>
      <c r="T203" s="364"/>
      <c r="U203" s="369"/>
      <c r="V203" s="369"/>
      <c r="W203" s="369"/>
      <c r="X203" s="369"/>
      <c r="Y203" s="369"/>
      <c r="Z203" s="369"/>
      <c r="AA203" s="369"/>
      <c r="AB203" s="369"/>
      <c r="AC203" s="369"/>
      <c r="AD203" s="369"/>
    </row>
    <row r="204" spans="1:30" s="1" customFormat="1" ht="24" customHeight="1">
      <c r="A204" s="96"/>
      <c r="B204" s="124" t="s">
        <v>391</v>
      </c>
      <c r="C204" s="105" t="s">
        <v>1</v>
      </c>
      <c r="D204" s="367">
        <v>0.85</v>
      </c>
      <c r="E204" s="368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</row>
    <row r="205" spans="1:30" s="1" customFormat="1">
      <c r="A205" s="64"/>
      <c r="B205" s="77"/>
      <c r="C205" s="50"/>
      <c r="D205" s="50"/>
      <c r="E205" s="50"/>
      <c r="F205" s="65"/>
      <c r="G205" s="50"/>
      <c r="H205" s="54"/>
      <c r="I205" s="55"/>
    </row>
    <row r="206" spans="1:30" s="1" customFormat="1">
      <c r="A206" s="64"/>
      <c r="B206" s="77"/>
      <c r="C206" s="50"/>
      <c r="D206" s="50"/>
      <c r="E206" s="50"/>
      <c r="F206" s="65"/>
      <c r="G206" s="50"/>
      <c r="H206" s="54"/>
      <c r="I206" s="55"/>
    </row>
    <row r="207" spans="1:30" s="1" customFormat="1">
      <c r="A207" s="380"/>
      <c r="B207" s="380"/>
      <c r="C207" s="380"/>
      <c r="D207" s="380"/>
      <c r="E207" s="380"/>
      <c r="F207" s="380"/>
      <c r="G207" s="206"/>
      <c r="H207" s="206"/>
      <c r="I207" s="206"/>
    </row>
    <row r="208" spans="1:30" s="1" customFormat="1">
      <c r="A208" s="64"/>
      <c r="B208" s="76"/>
      <c r="C208" s="50"/>
      <c r="D208" s="50"/>
      <c r="E208" s="50"/>
      <c r="F208" s="65"/>
      <c r="G208" s="50"/>
      <c r="H208" s="50"/>
      <c r="I208" s="55"/>
    </row>
    <row r="209" spans="1:22" s="1" customFormat="1">
      <c r="A209" s="64"/>
      <c r="B209" s="76"/>
      <c r="C209" s="50"/>
      <c r="D209" s="50"/>
      <c r="E209" s="50"/>
      <c r="F209" s="65"/>
      <c r="G209" s="50"/>
      <c r="H209" s="54"/>
      <c r="I209" s="55"/>
    </row>
    <row r="210" spans="1:22" s="1" customFormat="1">
      <c r="A210" s="64"/>
      <c r="B210" s="76"/>
      <c r="C210" s="50"/>
      <c r="D210" s="50"/>
      <c r="E210" s="50"/>
      <c r="F210" s="65"/>
      <c r="G210" s="50"/>
      <c r="H210" s="54"/>
      <c r="I210" s="36"/>
    </row>
    <row r="211" spans="1:22" s="1" customFormat="1" ht="13.5" thickBot="1">
      <c r="A211" s="64"/>
      <c r="B211" s="86" t="s">
        <v>239</v>
      </c>
      <c r="C211" s="133" t="s">
        <v>240</v>
      </c>
      <c r="D211" s="133" t="s">
        <v>0</v>
      </c>
      <c r="E211" s="133" t="s">
        <v>241</v>
      </c>
      <c r="F211" s="133">
        <f t="shared" ref="F211:U211" si="88">E5</f>
        <v>2021</v>
      </c>
      <c r="G211" s="133">
        <f t="shared" si="88"/>
        <v>2022</v>
      </c>
      <c r="H211" s="133">
        <f t="shared" si="88"/>
        <v>2023</v>
      </c>
      <c r="I211" s="133">
        <f t="shared" si="88"/>
        <v>2024</v>
      </c>
      <c r="J211" s="133">
        <f t="shared" si="88"/>
        <v>2025</v>
      </c>
      <c r="K211" s="133">
        <f t="shared" si="88"/>
        <v>2026</v>
      </c>
      <c r="L211" s="133">
        <f t="shared" si="88"/>
        <v>2027</v>
      </c>
      <c r="M211" s="133">
        <f t="shared" si="88"/>
        <v>2028</v>
      </c>
      <c r="N211" s="133">
        <f t="shared" si="88"/>
        <v>2029</v>
      </c>
      <c r="O211" s="133">
        <f t="shared" si="88"/>
        <v>2030</v>
      </c>
      <c r="P211" s="133">
        <f t="shared" si="88"/>
        <v>2031</v>
      </c>
      <c r="Q211" s="133">
        <f t="shared" si="88"/>
        <v>2032</v>
      </c>
      <c r="R211" s="133">
        <f t="shared" si="88"/>
        <v>2033</v>
      </c>
      <c r="S211" s="133">
        <f t="shared" si="88"/>
        <v>2034</v>
      </c>
      <c r="T211" s="133">
        <f t="shared" si="88"/>
        <v>2035</v>
      </c>
      <c r="U211" s="133">
        <f t="shared" si="88"/>
        <v>2036</v>
      </c>
    </row>
    <row r="212" spans="1:22" s="1" customFormat="1">
      <c r="A212" s="64"/>
      <c r="B212" s="238" t="s">
        <v>237</v>
      </c>
      <c r="C212" s="248">
        <f>AVERAGE(F213:U213)</f>
        <v>1239.6474677377137</v>
      </c>
      <c r="D212" s="244">
        <f>SUMPRODUCT(F212:U212,F213:U213)/COLUMNS(F212:U212)</f>
        <v>284213.13233540632</v>
      </c>
      <c r="E212" s="246" t="s">
        <v>236</v>
      </c>
      <c r="F212" s="239">
        <f>Założenia!E115</f>
        <v>188.60725391508436</v>
      </c>
      <c r="G212" s="239">
        <f>Założenia!F115</f>
        <v>193.99603259837247</v>
      </c>
      <c r="H212" s="239">
        <f>Założenia!G115</f>
        <v>199.38481128166063</v>
      </c>
      <c r="I212" s="239">
        <f>Założenia!H115</f>
        <v>204.77358996494871</v>
      </c>
      <c r="J212" s="239">
        <f>Założenia!I115</f>
        <v>210.16236864823688</v>
      </c>
      <c r="K212" s="239">
        <f>Założenia!J115</f>
        <v>215.55114733152499</v>
      </c>
      <c r="L212" s="239">
        <f>Założenia!K115</f>
        <v>220.93992601481312</v>
      </c>
      <c r="M212" s="239">
        <f>Założenia!L115</f>
        <v>226.32870469810123</v>
      </c>
      <c r="N212" s="239">
        <f>Założenia!M115</f>
        <v>231.71748338138934</v>
      </c>
      <c r="O212" s="239">
        <f>Założenia!N115</f>
        <v>237.10626206467751</v>
      </c>
      <c r="P212" s="239">
        <f>Założenia!O115</f>
        <v>242.49504074796559</v>
      </c>
      <c r="Q212" s="239">
        <f>Założenia!P115</f>
        <v>247.88381943125376</v>
      </c>
      <c r="R212" s="239">
        <f>Założenia!Q115</f>
        <v>253.27259811454186</v>
      </c>
      <c r="S212" s="239">
        <f>Założenia!R115</f>
        <v>258.66137679782997</v>
      </c>
      <c r="T212" s="239">
        <f>Założenia!S115</f>
        <v>264.05015548111811</v>
      </c>
      <c r="U212" s="240">
        <f>Założenia!T115</f>
        <v>269.43893416440625</v>
      </c>
      <c r="V212" s="50"/>
    </row>
    <row r="213" spans="1:22" s="1" customFormat="1" ht="13.5" thickBot="1">
      <c r="A213" s="64"/>
      <c r="B213" s="241" t="s">
        <v>238</v>
      </c>
      <c r="C213" s="249">
        <f>SUM(F213:U213)</f>
        <v>19834.359483803419</v>
      </c>
      <c r="D213" s="245">
        <f>SUMPRODUCT(F212:U212,F213:U213)</f>
        <v>4547410.1173665011</v>
      </c>
      <c r="E213" s="247" t="s">
        <v>232</v>
      </c>
      <c r="F213" s="242">
        <f t="shared" ref="F213:U213" si="89">E50</f>
        <v>1194.3152</v>
      </c>
      <c r="G213" s="242">
        <f t="shared" si="89"/>
        <v>1195.3021549649416</v>
      </c>
      <c r="H213" s="242">
        <f t="shared" si="89"/>
        <v>1195.3021549649416</v>
      </c>
      <c r="I213" s="242">
        <f t="shared" si="89"/>
        <v>1195.3021549649416</v>
      </c>
      <c r="J213" s="242">
        <f t="shared" si="89"/>
        <v>1195.3021549649416</v>
      </c>
      <c r="K213" s="242">
        <f t="shared" si="89"/>
        <v>1195.3021549649416</v>
      </c>
      <c r="L213" s="242">
        <f t="shared" si="89"/>
        <v>1195.3021549649416</v>
      </c>
      <c r="M213" s="242">
        <f t="shared" si="89"/>
        <v>1367.2693185980834</v>
      </c>
      <c r="N213" s="242">
        <f t="shared" si="89"/>
        <v>1351.5473934643935</v>
      </c>
      <c r="O213" s="242">
        <f t="shared" si="89"/>
        <v>1335.8254683307036</v>
      </c>
      <c r="P213" s="242">
        <f t="shared" si="89"/>
        <v>1307.526003090062</v>
      </c>
      <c r="Q213" s="242">
        <f t="shared" si="89"/>
        <v>1279.2265378494203</v>
      </c>
      <c r="R213" s="242">
        <f t="shared" si="89"/>
        <v>1250.9270726087784</v>
      </c>
      <c r="S213" s="242">
        <f t="shared" si="89"/>
        <v>1222.6276073681368</v>
      </c>
      <c r="T213" s="242">
        <f t="shared" si="89"/>
        <v>1194.3281421274951</v>
      </c>
      <c r="U213" s="243">
        <f t="shared" si="89"/>
        <v>1158.9538105766928</v>
      </c>
      <c r="V213" s="50"/>
    </row>
    <row r="214" spans="1:22" s="1" customFormat="1" ht="13.5" thickBot="1">
      <c r="A214" s="64"/>
      <c r="B214" s="86" t="s">
        <v>62</v>
      </c>
      <c r="C214" s="133" t="s">
        <v>240</v>
      </c>
      <c r="D214" s="133" t="s">
        <v>0</v>
      </c>
      <c r="E214" s="133" t="s">
        <v>241</v>
      </c>
      <c r="F214" s="133">
        <f>F211</f>
        <v>2021</v>
      </c>
      <c r="G214" s="133">
        <f t="shared" ref="G214:U214" si="90">G211</f>
        <v>2022</v>
      </c>
      <c r="H214" s="133">
        <f t="shared" si="90"/>
        <v>2023</v>
      </c>
      <c r="I214" s="133">
        <f t="shared" si="90"/>
        <v>2024</v>
      </c>
      <c r="J214" s="133">
        <f t="shared" si="90"/>
        <v>2025</v>
      </c>
      <c r="K214" s="133">
        <f t="shared" si="90"/>
        <v>2026</v>
      </c>
      <c r="L214" s="133">
        <f t="shared" si="90"/>
        <v>2027</v>
      </c>
      <c r="M214" s="133">
        <f t="shared" si="90"/>
        <v>2028</v>
      </c>
      <c r="N214" s="133">
        <f t="shared" si="90"/>
        <v>2029</v>
      </c>
      <c r="O214" s="133">
        <f t="shared" si="90"/>
        <v>2030</v>
      </c>
      <c r="P214" s="133">
        <f t="shared" si="90"/>
        <v>2031</v>
      </c>
      <c r="Q214" s="133">
        <f t="shared" si="90"/>
        <v>2032</v>
      </c>
      <c r="R214" s="133">
        <f t="shared" si="90"/>
        <v>2033</v>
      </c>
      <c r="S214" s="133">
        <f t="shared" si="90"/>
        <v>2034</v>
      </c>
      <c r="T214" s="133">
        <f t="shared" si="90"/>
        <v>2035</v>
      </c>
      <c r="U214" s="133">
        <f t="shared" si="90"/>
        <v>2036</v>
      </c>
    </row>
    <row r="215" spans="1:22" s="1" customFormat="1">
      <c r="A215" s="64"/>
      <c r="B215" s="238" t="s">
        <v>237</v>
      </c>
      <c r="C215" s="248">
        <f>AVERAGE(F216:U216)</f>
        <v>1.7963966682909156</v>
      </c>
      <c r="D215" s="244">
        <f>SUMPRODUCT(F215:U215,F216:U216)/COLUMNS(F215:U215)</f>
        <v>181749.99539928994</v>
      </c>
      <c r="E215" s="246" t="s">
        <v>236</v>
      </c>
      <c r="F215" s="239">
        <f>Założenia!E96</f>
        <v>79714.997380463887</v>
      </c>
      <c r="G215" s="239">
        <f>Założenia!F96</f>
        <v>82958.418120835689</v>
      </c>
      <c r="H215" s="239">
        <f>Założenia!G96</f>
        <v>86144.483984369945</v>
      </c>
      <c r="I215" s="239">
        <f>Założenia!H96</f>
        <v>88842.937942354823</v>
      </c>
      <c r="J215" s="239">
        <f>Założenia!I96</f>
        <v>91496.326912005505</v>
      </c>
      <c r="K215" s="239">
        <f>Założenia!J96</f>
        <v>94242.591826311735</v>
      </c>
      <c r="L215" s="239">
        <f>Założenia!K96</f>
        <v>97085.43512192824</v>
      </c>
      <c r="M215" s="239">
        <f>Założenia!L96</f>
        <v>99950.815866672914</v>
      </c>
      <c r="N215" s="239">
        <f>Założenia!M96</f>
        <v>102835.55294881284</v>
      </c>
      <c r="O215" s="239">
        <f>Założenia!N96</f>
        <v>105653.5409111366</v>
      </c>
      <c r="P215" s="239">
        <f>Założenia!O96</f>
        <v>108394.09656067959</v>
      </c>
      <c r="Q215" s="239">
        <f>Założenia!P96</f>
        <v>111135.92484754616</v>
      </c>
      <c r="R215" s="239">
        <f>Założenia!Q96</f>
        <v>113874.42991822689</v>
      </c>
      <c r="S215" s="239">
        <f>Założenia!R96</f>
        <v>116604.68149769701</v>
      </c>
      <c r="T215" s="239">
        <f>Założenia!S96</f>
        <v>119321.35959449633</v>
      </c>
      <c r="U215" s="240">
        <f>Założenia!T96</f>
        <v>122114.40710544567</v>
      </c>
      <c r="V215" s="50"/>
    </row>
    <row r="216" spans="1:22" s="1" customFormat="1" ht="13.5" thickBot="1">
      <c r="A216" s="64"/>
      <c r="B216" s="241" t="s">
        <v>238</v>
      </c>
      <c r="C216" s="249">
        <f>SUM(F216:U216)</f>
        <v>28.74234669265465</v>
      </c>
      <c r="D216" s="245">
        <f>SUMPRODUCT(F215:U215,F216:U216)</f>
        <v>2907999.926388639</v>
      </c>
      <c r="E216" s="247" t="s">
        <v>232</v>
      </c>
      <c r="F216" s="242">
        <f t="shared" ref="F216:U216" si="91">E61</f>
        <v>1.7825600000000001</v>
      </c>
      <c r="G216" s="242">
        <f t="shared" si="91"/>
        <v>1.7840330671118532</v>
      </c>
      <c r="H216" s="242">
        <f t="shared" si="91"/>
        <v>1.7840330671118532</v>
      </c>
      <c r="I216" s="242">
        <f t="shared" si="91"/>
        <v>1.7840330671118532</v>
      </c>
      <c r="J216" s="242">
        <f t="shared" si="91"/>
        <v>1.7840330671118532</v>
      </c>
      <c r="K216" s="242">
        <f t="shared" si="91"/>
        <v>1.7840330671118532</v>
      </c>
      <c r="L216" s="242">
        <f t="shared" si="91"/>
        <v>1.7840330671118532</v>
      </c>
      <c r="M216" s="242">
        <f t="shared" si="91"/>
        <v>1.9011687586760289</v>
      </c>
      <c r="N216" s="242">
        <f t="shared" si="91"/>
        <v>1.8904305553152079</v>
      </c>
      <c r="O216" s="242">
        <f t="shared" si="91"/>
        <v>1.8796923519543871</v>
      </c>
      <c r="P216" s="242">
        <f t="shared" si="91"/>
        <v>1.8469690901337803</v>
      </c>
      <c r="Q216" s="242">
        <f t="shared" si="91"/>
        <v>1.8142458283131737</v>
      </c>
      <c r="R216" s="242">
        <f t="shared" si="91"/>
        <v>1.7815225664925669</v>
      </c>
      <c r="S216" s="242">
        <f t="shared" si="91"/>
        <v>1.7487993046719601</v>
      </c>
      <c r="T216" s="242">
        <f t="shared" si="91"/>
        <v>1.7160760428513533</v>
      </c>
      <c r="U216" s="243">
        <f t="shared" si="91"/>
        <v>1.6766837915750787</v>
      </c>
      <c r="V216" s="50"/>
    </row>
    <row r="217" spans="1:22" s="1" customFormat="1" ht="13.5" thickBot="1">
      <c r="A217" s="64"/>
      <c r="B217" s="86" t="s">
        <v>123</v>
      </c>
      <c r="C217" s="133" t="s">
        <v>240</v>
      </c>
      <c r="D217" s="133" t="s">
        <v>0</v>
      </c>
      <c r="E217" s="133" t="s">
        <v>241</v>
      </c>
      <c r="F217" s="133">
        <f>F214</f>
        <v>2021</v>
      </c>
      <c r="G217" s="133">
        <f t="shared" ref="G217:U217" si="92">G214</f>
        <v>2022</v>
      </c>
      <c r="H217" s="133">
        <f t="shared" si="92"/>
        <v>2023</v>
      </c>
      <c r="I217" s="133">
        <f t="shared" si="92"/>
        <v>2024</v>
      </c>
      <c r="J217" s="133">
        <f t="shared" si="92"/>
        <v>2025</v>
      </c>
      <c r="K217" s="133">
        <f t="shared" si="92"/>
        <v>2026</v>
      </c>
      <c r="L217" s="133">
        <f t="shared" si="92"/>
        <v>2027</v>
      </c>
      <c r="M217" s="133">
        <f t="shared" si="92"/>
        <v>2028</v>
      </c>
      <c r="N217" s="133">
        <f t="shared" si="92"/>
        <v>2029</v>
      </c>
      <c r="O217" s="133">
        <f t="shared" si="92"/>
        <v>2030</v>
      </c>
      <c r="P217" s="133">
        <f t="shared" si="92"/>
        <v>2031</v>
      </c>
      <c r="Q217" s="133">
        <f t="shared" si="92"/>
        <v>2032</v>
      </c>
      <c r="R217" s="133">
        <f t="shared" si="92"/>
        <v>2033</v>
      </c>
      <c r="S217" s="133">
        <f t="shared" si="92"/>
        <v>2034</v>
      </c>
      <c r="T217" s="133">
        <f t="shared" si="92"/>
        <v>2035</v>
      </c>
      <c r="U217" s="133">
        <f t="shared" si="92"/>
        <v>2036</v>
      </c>
    </row>
    <row r="218" spans="1:22" s="1" customFormat="1">
      <c r="A218" s="64"/>
      <c r="B218" s="238" t="s">
        <v>237</v>
      </c>
      <c r="C218" s="248">
        <f>AVERAGE(F219:U219)</f>
        <v>0.47833155203124189</v>
      </c>
      <c r="D218" s="244">
        <f>SUMPRODUCT(F218:U218,F219:U219)/COLUMNS(F218:U218)</f>
        <v>5926.1361905397562</v>
      </c>
      <c r="E218" s="246" t="s">
        <v>236</v>
      </c>
      <c r="F218" s="239">
        <f>Założenia!E97</f>
        <v>9956.9573920216171</v>
      </c>
      <c r="G218" s="239">
        <f>Założenia!F97</f>
        <v>10362.083192404516</v>
      </c>
      <c r="H218" s="239">
        <f>Założenia!G97</f>
        <v>10760.044969910135</v>
      </c>
      <c r="I218" s="239">
        <f>Założenia!H97</f>
        <v>11097.10063028669</v>
      </c>
      <c r="J218" s="239">
        <f>Założenia!I97</f>
        <v>11428.527360305585</v>
      </c>
      <c r="K218" s="239">
        <f>Założenia!J97</f>
        <v>11771.554941532759</v>
      </c>
      <c r="L218" s="239">
        <f>Założenia!K97</f>
        <v>12126.645834047609</v>
      </c>
      <c r="M218" s="239">
        <f>Założenia!L97</f>
        <v>12484.551810650375</v>
      </c>
      <c r="N218" s="239">
        <f>Założenia!M97</f>
        <v>12844.87552836891</v>
      </c>
      <c r="O218" s="239">
        <f>Założenia!N97</f>
        <v>13196.86181694858</v>
      </c>
      <c r="P218" s="239">
        <f>Założenia!O97</f>
        <v>13539.176271313112</v>
      </c>
      <c r="Q218" s="239">
        <f>Założenia!P97</f>
        <v>13881.649686927383</v>
      </c>
      <c r="R218" s="239">
        <f>Założenia!Q97</f>
        <v>14223.708009735352</v>
      </c>
      <c r="S218" s="239">
        <f>Założenia!R97</f>
        <v>14564.735414108647</v>
      </c>
      <c r="T218" s="239">
        <f>Założenia!S97</f>
        <v>14904.067396126607</v>
      </c>
      <c r="U218" s="240">
        <f>Założenia!T97</f>
        <v>15252.93844893091</v>
      </c>
      <c r="V218" s="50"/>
    </row>
    <row r="219" spans="1:22" s="1" customFormat="1" ht="13.5" thickBot="1">
      <c r="A219" s="64"/>
      <c r="B219" s="241" t="s">
        <v>238</v>
      </c>
      <c r="C219" s="249">
        <f>SUM(F219:U219)</f>
        <v>7.6533048324998703</v>
      </c>
      <c r="D219" s="245">
        <f>SUMPRODUCT(F218:U218,F219:U219)</f>
        <v>94818.179048636099</v>
      </c>
      <c r="E219" s="247" t="s">
        <v>232</v>
      </c>
      <c r="F219" s="242">
        <f t="shared" ref="F219:U219" si="93">E81</f>
        <v>0.57933199999999996</v>
      </c>
      <c r="G219" s="242">
        <f t="shared" si="93"/>
        <v>0.57981074681135236</v>
      </c>
      <c r="H219" s="242">
        <f t="shared" si="93"/>
        <v>0.57981074681135236</v>
      </c>
      <c r="I219" s="242">
        <f t="shared" si="93"/>
        <v>0.57981074681135236</v>
      </c>
      <c r="J219" s="242">
        <f t="shared" si="93"/>
        <v>0.57981074681135236</v>
      </c>
      <c r="K219" s="242">
        <f t="shared" si="93"/>
        <v>0.57981074681135236</v>
      </c>
      <c r="L219" s="242">
        <f t="shared" si="93"/>
        <v>0.57981074681135236</v>
      </c>
      <c r="M219" s="242">
        <f t="shared" si="93"/>
        <v>0.39996617414854918</v>
      </c>
      <c r="N219" s="242">
        <f t="shared" si="93"/>
        <v>0.39990732327123174</v>
      </c>
      <c r="O219" s="242">
        <f t="shared" si="93"/>
        <v>0.39984847239391436</v>
      </c>
      <c r="P219" s="242">
        <f t="shared" si="93"/>
        <v>0.39967402157900916</v>
      </c>
      <c r="Q219" s="242">
        <f t="shared" si="93"/>
        <v>0.39949957076410403</v>
      </c>
      <c r="R219" s="242">
        <f t="shared" si="93"/>
        <v>0.39932511994919884</v>
      </c>
      <c r="S219" s="242">
        <f t="shared" si="93"/>
        <v>0.39915066913429365</v>
      </c>
      <c r="T219" s="242">
        <f t="shared" si="93"/>
        <v>0.39897621831938845</v>
      </c>
      <c r="U219" s="243">
        <f t="shared" si="93"/>
        <v>0.39876078207206583</v>
      </c>
      <c r="V219" s="50"/>
    </row>
    <row r="220" spans="1:22" s="1" customFormat="1" ht="13.5" thickBot="1">
      <c r="A220" s="64"/>
      <c r="B220" s="86" t="s">
        <v>63</v>
      </c>
      <c r="C220" s="133" t="s">
        <v>240</v>
      </c>
      <c r="D220" s="133" t="s">
        <v>0</v>
      </c>
      <c r="E220" s="133" t="s">
        <v>241</v>
      </c>
      <c r="F220" s="133">
        <f>F217</f>
        <v>2021</v>
      </c>
      <c r="G220" s="133">
        <f t="shared" ref="G220:U220" si="94">G217</f>
        <v>2022</v>
      </c>
      <c r="H220" s="133">
        <f t="shared" si="94"/>
        <v>2023</v>
      </c>
      <c r="I220" s="133">
        <f t="shared" si="94"/>
        <v>2024</v>
      </c>
      <c r="J220" s="133">
        <f t="shared" si="94"/>
        <v>2025</v>
      </c>
      <c r="K220" s="133">
        <f t="shared" si="94"/>
        <v>2026</v>
      </c>
      <c r="L220" s="133">
        <f t="shared" si="94"/>
        <v>2027</v>
      </c>
      <c r="M220" s="133">
        <f t="shared" si="94"/>
        <v>2028</v>
      </c>
      <c r="N220" s="133">
        <f t="shared" si="94"/>
        <v>2029</v>
      </c>
      <c r="O220" s="133">
        <f t="shared" si="94"/>
        <v>2030</v>
      </c>
      <c r="P220" s="133">
        <f t="shared" si="94"/>
        <v>2031</v>
      </c>
      <c r="Q220" s="133">
        <f t="shared" si="94"/>
        <v>2032</v>
      </c>
      <c r="R220" s="133">
        <f t="shared" si="94"/>
        <v>2033</v>
      </c>
      <c r="S220" s="133">
        <f t="shared" si="94"/>
        <v>2034</v>
      </c>
      <c r="T220" s="133">
        <f t="shared" si="94"/>
        <v>2035</v>
      </c>
      <c r="U220" s="133">
        <f t="shared" si="94"/>
        <v>2036</v>
      </c>
    </row>
    <row r="221" spans="1:22" s="1" customFormat="1">
      <c r="A221" s="64"/>
      <c r="B221" s="238" t="s">
        <v>237</v>
      </c>
      <c r="C221" s="248">
        <f>AVERAGE(F222:U222)</f>
        <v>4.5703049691273062E-2</v>
      </c>
      <c r="D221" s="244">
        <f>SUMPRODUCT(F221:U221,F222:U222)/COLUMNS(F221:U221)</f>
        <v>76342.704565319145</v>
      </c>
      <c r="E221" s="246" t="s">
        <v>236</v>
      </c>
      <c r="F221" s="239">
        <f>Założenia!E99</f>
        <v>1314075.0889452605</v>
      </c>
      <c r="G221" s="239">
        <f>Założenia!F99</f>
        <v>1367541.795812838</v>
      </c>
      <c r="H221" s="239">
        <f>Założenia!G99</f>
        <v>1420063.0267052737</v>
      </c>
      <c r="I221" s="239">
        <f>Założenia!H99</f>
        <v>1464546.1383075919</v>
      </c>
      <c r="J221" s="239">
        <f>Założenia!I99</f>
        <v>1508286.3686391378</v>
      </c>
      <c r="K221" s="239">
        <f>Założenia!J99</f>
        <v>1553557.6278767206</v>
      </c>
      <c r="L221" s="239">
        <f>Założenia!K99</f>
        <v>1600420.9494511404</v>
      </c>
      <c r="M221" s="239">
        <f>Założenia!L99</f>
        <v>1647655.7933418229</v>
      </c>
      <c r="N221" s="239">
        <f>Założenia!M99</f>
        <v>1695209.7199850639</v>
      </c>
      <c r="O221" s="239">
        <f>Założenia!N99</f>
        <v>1741663.3096974657</v>
      </c>
      <c r="P221" s="239">
        <f>Założenia!O99</f>
        <v>1786840.4536136147</v>
      </c>
      <c r="Q221" s="239">
        <f>Założenia!P99</f>
        <v>1832038.5765306936</v>
      </c>
      <c r="R221" s="239">
        <f>Założenia!Q99</f>
        <v>1877181.9173396558</v>
      </c>
      <c r="S221" s="239">
        <f>Założenia!R99</f>
        <v>1922189.2021045473</v>
      </c>
      <c r="T221" s="239">
        <f>Założenia!S99</f>
        <v>1966972.7325442298</v>
      </c>
      <c r="U221" s="240">
        <f>Założenia!T99</f>
        <v>2013015.1872514868</v>
      </c>
      <c r="V221" s="50"/>
    </row>
    <row r="222" spans="1:22" s="1" customFormat="1" ht="13.5" thickBot="1">
      <c r="A222" s="64"/>
      <c r="B222" s="241" t="s">
        <v>238</v>
      </c>
      <c r="C222" s="249">
        <f>SUM(F222:U222)</f>
        <v>0.73124879506036899</v>
      </c>
      <c r="D222" s="245">
        <f>SUMPRODUCT(F221:U221,F222:U222)</f>
        <v>1221483.2730451063</v>
      </c>
      <c r="E222" s="247" t="s">
        <v>232</v>
      </c>
      <c r="F222" s="242">
        <f>E71</f>
        <v>4.4564000000000006E-2</v>
      </c>
      <c r="G222" s="242">
        <f t="shared" ref="G222:U222" si="95">F71</f>
        <v>4.4600826677796329E-2</v>
      </c>
      <c r="H222" s="242">
        <f t="shared" si="95"/>
        <v>4.4600826677796329E-2</v>
      </c>
      <c r="I222" s="242">
        <f t="shared" si="95"/>
        <v>4.4600826677796329E-2</v>
      </c>
      <c r="J222" s="242">
        <f t="shared" si="95"/>
        <v>4.4600826677796329E-2</v>
      </c>
      <c r="K222" s="242">
        <f t="shared" si="95"/>
        <v>4.4600826677796329E-2</v>
      </c>
      <c r="L222" s="242">
        <f t="shared" si="95"/>
        <v>4.4600826677796329E-2</v>
      </c>
      <c r="M222" s="242">
        <f t="shared" si="95"/>
        <v>4.9167728008312477E-2</v>
      </c>
      <c r="N222" s="242">
        <f t="shared" si="95"/>
        <v>4.887588622849616E-2</v>
      </c>
      <c r="O222" s="242">
        <f t="shared" si="95"/>
        <v>4.858404444867985E-2</v>
      </c>
      <c r="P222" s="242">
        <f t="shared" si="95"/>
        <v>4.7684983481826357E-2</v>
      </c>
      <c r="Q222" s="242">
        <f t="shared" si="95"/>
        <v>4.6785922514972864E-2</v>
      </c>
      <c r="R222" s="242">
        <f t="shared" si="95"/>
        <v>4.588686154811937E-2</v>
      </c>
      <c r="S222" s="242">
        <f t="shared" si="95"/>
        <v>4.4987800581265877E-2</v>
      </c>
      <c r="T222" s="242">
        <f t="shared" si="95"/>
        <v>4.4088739614412384E-2</v>
      </c>
      <c r="U222" s="243">
        <f t="shared" si="95"/>
        <v>4.3017868567505731E-2</v>
      </c>
      <c r="V222" s="50"/>
    </row>
    <row r="223" spans="1:22" s="1" customFormat="1">
      <c r="A223" s="64"/>
      <c r="B223" s="77"/>
      <c r="C223" s="50"/>
      <c r="D223" s="50"/>
      <c r="E223" s="50"/>
      <c r="F223" s="65"/>
      <c r="G223" s="50"/>
      <c r="H223" s="54"/>
      <c r="I223" s="55"/>
    </row>
    <row r="224" spans="1:22" s="1" customFormat="1">
      <c r="A224" s="64"/>
      <c r="B224" s="77"/>
      <c r="C224" s="50"/>
      <c r="D224" s="50"/>
      <c r="E224" s="50"/>
      <c r="F224" s="65"/>
      <c r="G224" s="50"/>
      <c r="H224" s="54"/>
      <c r="I224" s="55"/>
    </row>
    <row r="225" spans="1:9" s="1" customFormat="1">
      <c r="A225" s="64"/>
      <c r="B225" s="77"/>
      <c r="C225" s="50"/>
      <c r="D225" s="50"/>
      <c r="E225" s="50"/>
      <c r="F225" s="65"/>
      <c r="G225" s="50"/>
      <c r="H225" s="54"/>
      <c r="I225" s="55"/>
    </row>
    <row r="226" spans="1:9" s="1" customFormat="1">
      <c r="A226" s="64"/>
      <c r="B226" s="77"/>
      <c r="C226" s="50"/>
      <c r="D226" s="50"/>
      <c r="E226" s="50"/>
      <c r="F226" s="65"/>
      <c r="G226" s="50"/>
      <c r="H226" s="54"/>
      <c r="I226" s="55"/>
    </row>
    <row r="227" spans="1:9" s="1" customFormat="1">
      <c r="A227" s="64"/>
      <c r="B227" s="77"/>
      <c r="C227" s="50"/>
      <c r="D227" s="50"/>
      <c r="E227" s="50"/>
      <c r="F227" s="65"/>
      <c r="G227" s="50"/>
      <c r="H227" s="54"/>
      <c r="I227" s="55"/>
    </row>
    <row r="228" spans="1:9" s="1" customFormat="1">
      <c r="A228" s="64"/>
      <c r="B228" s="77"/>
      <c r="C228" s="50"/>
      <c r="D228" s="50"/>
      <c r="E228" s="50"/>
      <c r="F228" s="65"/>
      <c r="G228" s="50"/>
      <c r="H228" s="54"/>
      <c r="I228" s="55"/>
    </row>
    <row r="229" spans="1:9" s="1" customFormat="1">
      <c r="A229" s="64"/>
      <c r="B229" s="77"/>
      <c r="C229" s="50"/>
      <c r="D229" s="50"/>
      <c r="E229" s="50"/>
      <c r="F229" s="65"/>
      <c r="G229" s="50"/>
      <c r="H229" s="54"/>
      <c r="I229" s="55"/>
    </row>
    <row r="230" spans="1:9" s="1" customFormat="1">
      <c r="A230" s="64"/>
      <c r="B230" s="77"/>
      <c r="C230" s="50"/>
      <c r="D230" s="50"/>
      <c r="E230" s="50"/>
      <c r="F230" s="65"/>
      <c r="G230" s="50"/>
      <c r="H230" s="54"/>
      <c r="I230" s="55"/>
    </row>
    <row r="231" spans="1:9" s="1" customFormat="1">
      <c r="A231" s="64"/>
      <c r="B231" s="77"/>
      <c r="C231" s="50"/>
      <c r="D231" s="50"/>
      <c r="E231" s="50"/>
      <c r="F231" s="65"/>
      <c r="G231" s="50"/>
      <c r="H231" s="54"/>
      <c r="I231" s="55"/>
    </row>
    <row r="232" spans="1:9" s="1" customFormat="1">
      <c r="A232" s="64"/>
      <c r="B232" s="77"/>
      <c r="C232" s="50"/>
      <c r="D232" s="50"/>
      <c r="E232" s="50"/>
      <c r="F232" s="65"/>
      <c r="G232" s="50"/>
      <c r="H232" s="54"/>
      <c r="I232" s="55"/>
    </row>
    <row r="233" spans="1:9" s="1" customFormat="1">
      <c r="A233" s="82"/>
      <c r="B233" s="56"/>
      <c r="C233" s="56"/>
      <c r="D233" s="56"/>
      <c r="E233" s="56"/>
      <c r="F233" s="56"/>
      <c r="G233" s="56"/>
      <c r="H233" s="56"/>
      <c r="I233" s="56"/>
    </row>
    <row r="234" spans="1:9" s="1" customFormat="1">
      <c r="A234" s="36"/>
      <c r="B234" s="50"/>
      <c r="C234" s="50"/>
      <c r="D234" s="50"/>
      <c r="E234" s="50"/>
      <c r="F234" s="36"/>
      <c r="G234" s="36"/>
      <c r="H234" s="36"/>
      <c r="I234" s="36"/>
    </row>
    <row r="235" spans="1:9" s="1" customFormat="1">
      <c r="A235" s="36"/>
      <c r="B235" s="36"/>
      <c r="C235" s="78"/>
      <c r="D235" s="78"/>
      <c r="E235" s="79"/>
      <c r="F235" s="80"/>
      <c r="G235" s="78"/>
      <c r="H235" s="36"/>
      <c r="I235" s="81"/>
    </row>
    <row r="236" spans="1:9" s="1" customFormat="1" ht="12">
      <c r="A236" s="4"/>
      <c r="B236" s="4"/>
      <c r="C236" s="4"/>
      <c r="D236" s="4"/>
      <c r="E236" s="4"/>
      <c r="F236" s="4"/>
      <c r="G236" s="4"/>
      <c r="H236" s="4"/>
      <c r="I236" s="4"/>
    </row>
    <row r="237" spans="1:9" s="1" customFormat="1" ht="12">
      <c r="A237" s="4"/>
      <c r="B237" s="4"/>
      <c r="C237" s="4"/>
      <c r="D237" s="4"/>
      <c r="E237" s="4"/>
      <c r="F237" s="4"/>
      <c r="G237" s="4"/>
      <c r="H237" s="4"/>
      <c r="I237" s="4"/>
    </row>
    <row r="238" spans="1:9" s="1" customFormat="1" ht="30.75" customHeight="1">
      <c r="A238" s="618"/>
      <c r="B238" s="668"/>
      <c r="C238" s="668"/>
      <c r="D238" s="381"/>
      <c r="E238" s="57"/>
      <c r="F238" s="57"/>
      <c r="G238" s="57"/>
      <c r="H238" s="57"/>
      <c r="I238" s="57"/>
    </row>
    <row r="239" spans="1:9" s="1" customFormat="1">
      <c r="A239" s="68"/>
      <c r="B239" s="68"/>
      <c r="C239" s="68"/>
      <c r="D239" s="68"/>
      <c r="E239" s="68"/>
      <c r="F239" s="68"/>
      <c r="G239" s="69"/>
      <c r="H239" s="69"/>
      <c r="I239" s="615"/>
    </row>
    <row r="240" spans="1:9" s="1" customFormat="1">
      <c r="A240" s="68"/>
      <c r="B240" s="68"/>
      <c r="C240" s="68"/>
      <c r="D240" s="68"/>
      <c r="E240" s="68"/>
      <c r="F240" s="68"/>
      <c r="G240" s="69"/>
      <c r="H240" s="69"/>
      <c r="I240" s="615"/>
    </row>
    <row r="241" spans="1:9" s="1" customFormat="1">
      <c r="A241" s="36"/>
      <c r="B241" s="36"/>
      <c r="C241" s="36"/>
      <c r="D241" s="36"/>
      <c r="E241" s="36"/>
      <c r="F241" s="36"/>
      <c r="G241" s="36"/>
      <c r="H241" s="50"/>
      <c r="I241" s="36"/>
    </row>
    <row r="242" spans="1:9" s="1" customFormat="1">
      <c r="A242" s="36"/>
      <c r="B242" s="36"/>
      <c r="C242" s="36"/>
      <c r="D242" s="36"/>
      <c r="E242" s="36"/>
      <c r="F242" s="36"/>
      <c r="G242" s="58"/>
      <c r="H242" s="70"/>
      <c r="I242" s="50"/>
    </row>
    <row r="243" spans="1:9" s="1" customFormat="1">
      <c r="A243" s="36"/>
      <c r="B243" s="36"/>
      <c r="C243" s="36"/>
      <c r="D243" s="36"/>
      <c r="E243" s="36"/>
      <c r="F243" s="36"/>
      <c r="G243" s="59"/>
      <c r="H243" s="70"/>
      <c r="I243" s="50"/>
    </row>
    <row r="244" spans="1:9" s="1" customFormat="1">
      <c r="A244" s="36"/>
      <c r="B244" s="36"/>
      <c r="C244" s="36"/>
      <c r="D244" s="36"/>
      <c r="E244" s="36"/>
      <c r="F244" s="36"/>
      <c r="G244" s="60"/>
      <c r="H244" s="70"/>
      <c r="I244" s="50"/>
    </row>
    <row r="245" spans="1:9" s="1" customFormat="1">
      <c r="A245" s="36"/>
      <c r="B245" s="36"/>
      <c r="C245" s="36"/>
      <c r="D245" s="36"/>
      <c r="E245" s="36"/>
      <c r="F245" s="36"/>
      <c r="G245" s="60"/>
      <c r="H245" s="70"/>
      <c r="I245" s="50"/>
    </row>
    <row r="246" spans="1:9" s="1" customFormat="1">
      <c r="A246" s="36"/>
      <c r="B246" s="36"/>
      <c r="C246" s="36"/>
      <c r="D246" s="36"/>
      <c r="E246" s="36"/>
      <c r="F246" s="36"/>
      <c r="G246" s="60"/>
      <c r="H246" s="70"/>
      <c r="I246" s="50"/>
    </row>
    <row r="247" spans="1:9" s="1" customFormat="1">
      <c r="A247" s="36"/>
      <c r="B247" s="36"/>
      <c r="C247" s="36"/>
      <c r="D247" s="36"/>
      <c r="E247" s="36"/>
      <c r="F247" s="36"/>
      <c r="G247" s="60"/>
      <c r="H247" s="70"/>
      <c r="I247" s="50"/>
    </row>
    <row r="248" spans="1:9" s="1" customFormat="1">
      <c r="A248" s="36"/>
      <c r="B248" s="36"/>
      <c r="C248" s="36"/>
      <c r="D248" s="36"/>
      <c r="E248" s="36"/>
      <c r="F248" s="36"/>
      <c r="G248" s="36"/>
      <c r="H248" s="36"/>
      <c r="I248" s="36"/>
    </row>
    <row r="249" spans="1:9" s="1" customFormat="1">
      <c r="A249" s="68"/>
      <c r="B249" s="68"/>
      <c r="C249" s="68"/>
      <c r="D249" s="68"/>
      <c r="E249" s="68"/>
      <c r="F249" s="68"/>
      <c r="G249" s="622"/>
      <c r="H249" s="71"/>
      <c r="I249" s="71"/>
    </row>
    <row r="250" spans="1:9" s="1" customFormat="1">
      <c r="A250" s="68"/>
      <c r="B250" s="68"/>
      <c r="C250" s="68"/>
      <c r="D250" s="68"/>
      <c r="E250" s="68"/>
      <c r="F250" s="68"/>
      <c r="G250" s="622"/>
      <c r="H250" s="71"/>
      <c r="I250" s="71"/>
    </row>
    <row r="251" spans="1:9" s="1" customFormat="1">
      <c r="A251" s="61"/>
      <c r="B251" s="36"/>
      <c r="C251" s="62"/>
      <c r="D251" s="62"/>
      <c r="E251" s="62"/>
      <c r="F251" s="36"/>
      <c r="G251" s="62"/>
      <c r="H251" s="72"/>
      <c r="I251" s="50"/>
    </row>
    <row r="252" spans="1:9" s="1" customFormat="1">
      <c r="A252" s="36"/>
      <c r="B252" s="36"/>
      <c r="C252" s="36"/>
      <c r="D252" s="36"/>
      <c r="E252" s="36"/>
      <c r="F252" s="36"/>
      <c r="G252" s="50"/>
      <c r="H252" s="50"/>
      <c r="I252" s="70"/>
    </row>
    <row r="253" spans="1:9" s="1" customFormat="1">
      <c r="A253" s="36"/>
      <c r="B253" s="36"/>
      <c r="C253" s="36"/>
      <c r="D253" s="36"/>
      <c r="E253" s="36"/>
      <c r="F253" s="36"/>
      <c r="G253" s="70"/>
      <c r="H253" s="50"/>
      <c r="I253" s="50"/>
    </row>
    <row r="254" spans="1:9" s="1" customFormat="1">
      <c r="A254" s="36"/>
      <c r="B254" s="36"/>
      <c r="C254" s="36"/>
      <c r="D254" s="36"/>
      <c r="E254" s="36"/>
      <c r="F254" s="36"/>
      <c r="G254" s="47"/>
      <c r="H254" s="50"/>
      <c r="I254" s="50"/>
    </row>
    <row r="255" spans="1:9" s="1" customFormat="1">
      <c r="A255" s="36"/>
      <c r="B255" s="36"/>
      <c r="C255" s="36"/>
      <c r="D255" s="36"/>
      <c r="E255" s="36"/>
      <c r="F255" s="36"/>
      <c r="G255" s="73"/>
      <c r="H255" s="50"/>
      <c r="I255" s="50"/>
    </row>
    <row r="256" spans="1:9" s="1" customFormat="1">
      <c r="A256" s="36"/>
      <c r="B256" s="36"/>
      <c r="C256" s="36"/>
      <c r="D256" s="36"/>
      <c r="E256" s="36"/>
      <c r="F256" s="50"/>
      <c r="G256" s="36"/>
      <c r="H256" s="36"/>
      <c r="I256" s="36"/>
    </row>
    <row r="257" spans="1:9" s="1" customFormat="1">
      <c r="A257" s="63"/>
      <c r="B257" s="36"/>
      <c r="C257" s="36"/>
      <c r="D257" s="36"/>
      <c r="E257" s="36"/>
      <c r="F257" s="50"/>
      <c r="G257" s="36"/>
      <c r="H257" s="36"/>
      <c r="I257" s="36"/>
    </row>
    <row r="258" spans="1:9" s="1" customFormat="1">
      <c r="A258" s="36"/>
      <c r="B258" s="74"/>
      <c r="C258" s="36"/>
      <c r="D258" s="36"/>
      <c r="E258" s="36"/>
      <c r="F258" s="36"/>
      <c r="G258" s="36"/>
      <c r="H258" s="36"/>
      <c r="I258" s="36"/>
    </row>
    <row r="259" spans="1:9" s="1" customFormat="1">
      <c r="A259" s="619"/>
      <c r="B259" s="380"/>
      <c r="C259" s="380"/>
      <c r="D259" s="380"/>
      <c r="E259" s="619"/>
      <c r="F259" s="619"/>
      <c r="G259" s="619"/>
      <c r="H259" s="619"/>
      <c r="I259" s="619"/>
    </row>
    <row r="260" spans="1:9" s="1" customFormat="1">
      <c r="A260" s="619"/>
      <c r="B260" s="380"/>
      <c r="C260" s="380"/>
      <c r="D260" s="380"/>
      <c r="E260" s="380"/>
      <c r="F260" s="380"/>
      <c r="G260" s="620"/>
      <c r="H260" s="620"/>
      <c r="I260" s="620"/>
    </row>
    <row r="261" spans="1:9" s="1" customFormat="1">
      <c r="A261" s="64"/>
      <c r="B261" s="76"/>
      <c r="C261" s="50"/>
      <c r="D261" s="50"/>
      <c r="E261" s="50"/>
      <c r="F261" s="65"/>
      <c r="G261" s="50"/>
      <c r="H261" s="50"/>
      <c r="I261" s="55"/>
    </row>
    <row r="262" spans="1:9" s="1" customFormat="1">
      <c r="A262" s="64"/>
      <c r="B262" s="76"/>
      <c r="C262" s="50"/>
      <c r="D262" s="50"/>
      <c r="E262" s="50"/>
      <c r="F262" s="65"/>
      <c r="G262" s="50"/>
      <c r="H262" s="54"/>
      <c r="I262" s="55"/>
    </row>
    <row r="263" spans="1:9" s="1" customFormat="1">
      <c r="A263" s="64"/>
      <c r="B263" s="76"/>
      <c r="C263" s="50"/>
      <c r="D263" s="50"/>
      <c r="E263" s="50"/>
      <c r="F263" s="65"/>
      <c r="G263" s="50"/>
      <c r="H263" s="54"/>
      <c r="I263" s="36"/>
    </row>
    <row r="264" spans="1:9" s="1" customFormat="1">
      <c r="A264" s="64"/>
      <c r="B264" s="76"/>
      <c r="C264" s="50"/>
      <c r="D264" s="50"/>
      <c r="E264" s="50"/>
      <c r="F264" s="65"/>
      <c r="G264" s="50"/>
      <c r="H264" s="54"/>
      <c r="I264" s="55"/>
    </row>
    <row r="265" spans="1:9" s="1" customFormat="1">
      <c r="A265" s="64"/>
      <c r="B265" s="77"/>
      <c r="C265" s="50"/>
      <c r="D265" s="50"/>
      <c r="E265" s="50"/>
      <c r="F265" s="65"/>
      <c r="G265" s="50"/>
      <c r="H265" s="54"/>
      <c r="I265" s="55"/>
    </row>
    <row r="266" spans="1:9" s="1" customFormat="1">
      <c r="A266" s="64"/>
      <c r="B266" s="77"/>
      <c r="C266" s="50"/>
      <c r="D266" s="50"/>
      <c r="E266" s="50"/>
      <c r="F266" s="65"/>
      <c r="G266" s="50"/>
      <c r="H266" s="54"/>
      <c r="I266" s="55"/>
    </row>
    <row r="267" spans="1:9" s="1" customFormat="1">
      <c r="A267" s="64"/>
      <c r="B267" s="77"/>
      <c r="C267" s="50"/>
      <c r="D267" s="50"/>
      <c r="E267" s="50"/>
      <c r="F267" s="65"/>
      <c r="G267" s="50"/>
      <c r="H267" s="54"/>
      <c r="I267" s="55"/>
    </row>
    <row r="268" spans="1:9" s="1" customFormat="1">
      <c r="A268" s="64"/>
      <c r="B268" s="77"/>
      <c r="C268" s="50"/>
      <c r="D268" s="50"/>
      <c r="E268" s="50"/>
      <c r="F268" s="65"/>
      <c r="G268" s="50"/>
      <c r="H268" s="54"/>
      <c r="I268" s="55"/>
    </row>
    <row r="269" spans="1:9" s="1" customFormat="1">
      <c r="A269" s="64"/>
      <c r="B269" s="77"/>
      <c r="C269" s="50"/>
      <c r="D269" s="50"/>
      <c r="E269" s="50"/>
      <c r="F269" s="65"/>
      <c r="G269" s="50"/>
      <c r="H269" s="54"/>
      <c r="I269" s="55"/>
    </row>
    <row r="270" spans="1:9" s="1" customFormat="1">
      <c r="A270" s="64"/>
      <c r="B270" s="77"/>
      <c r="C270" s="50"/>
      <c r="D270" s="50"/>
      <c r="E270" s="50"/>
      <c r="F270" s="65"/>
      <c r="G270" s="50"/>
      <c r="H270" s="54"/>
      <c r="I270" s="55"/>
    </row>
    <row r="271" spans="1:9" s="1" customFormat="1">
      <c r="A271" s="64"/>
      <c r="B271" s="77"/>
      <c r="C271" s="50"/>
      <c r="D271" s="50"/>
      <c r="E271" s="50"/>
      <c r="F271" s="65"/>
      <c r="G271" s="50"/>
      <c r="H271" s="54"/>
      <c r="I271" s="55"/>
    </row>
    <row r="272" spans="1:9" s="1" customFormat="1">
      <c r="A272" s="64"/>
      <c r="B272" s="77"/>
      <c r="C272" s="50"/>
      <c r="D272" s="50"/>
      <c r="E272" s="50"/>
      <c r="F272" s="65"/>
      <c r="G272" s="50"/>
      <c r="H272" s="54"/>
      <c r="I272" s="55"/>
    </row>
    <row r="273" spans="1:9" s="1" customFormat="1">
      <c r="A273" s="64"/>
      <c r="B273" s="77"/>
      <c r="C273" s="50"/>
      <c r="D273" s="50"/>
      <c r="E273" s="50"/>
      <c r="F273" s="65"/>
      <c r="G273" s="50"/>
      <c r="H273" s="54"/>
      <c r="I273" s="55"/>
    </row>
    <row r="274" spans="1:9" s="1" customFormat="1">
      <c r="A274" s="64"/>
      <c r="B274" s="77"/>
      <c r="C274" s="50"/>
      <c r="D274" s="50"/>
      <c r="E274" s="50"/>
      <c r="F274" s="65"/>
      <c r="G274" s="50"/>
      <c r="H274" s="54"/>
      <c r="I274" s="55"/>
    </row>
    <row r="275" spans="1:9" s="1" customFormat="1">
      <c r="A275" s="64"/>
      <c r="B275" s="77"/>
      <c r="C275" s="50"/>
      <c r="D275" s="50"/>
      <c r="E275" s="50"/>
      <c r="F275" s="65"/>
      <c r="G275" s="50"/>
      <c r="H275" s="54"/>
      <c r="I275" s="55"/>
    </row>
    <row r="276" spans="1:9" s="1" customFormat="1">
      <c r="A276" s="64"/>
      <c r="B276" s="77"/>
      <c r="C276" s="50"/>
      <c r="D276" s="50"/>
      <c r="E276" s="50"/>
      <c r="F276" s="65"/>
      <c r="G276" s="50"/>
      <c r="H276" s="54"/>
      <c r="I276" s="55"/>
    </row>
    <row r="277" spans="1:9" s="1" customFormat="1">
      <c r="A277" s="64"/>
      <c r="B277" s="77"/>
      <c r="C277" s="50"/>
      <c r="D277" s="50"/>
      <c r="E277" s="50"/>
      <c r="F277" s="65"/>
      <c r="G277" s="50"/>
      <c r="H277" s="54"/>
      <c r="I277" s="55"/>
    </row>
    <row r="278" spans="1:9" s="1" customFormat="1">
      <c r="A278" s="64"/>
      <c r="B278" s="77"/>
      <c r="C278" s="50"/>
      <c r="D278" s="50"/>
      <c r="E278" s="50"/>
      <c r="F278" s="65"/>
      <c r="G278" s="50"/>
      <c r="H278" s="54"/>
      <c r="I278" s="55"/>
    </row>
    <row r="279" spans="1:9" s="1" customFormat="1">
      <c r="A279" s="64"/>
      <c r="B279" s="77"/>
      <c r="C279" s="50"/>
      <c r="D279" s="50"/>
      <c r="E279" s="50"/>
      <c r="F279" s="65"/>
      <c r="G279" s="50"/>
      <c r="H279" s="54"/>
      <c r="I279" s="55"/>
    </row>
    <row r="280" spans="1:9" s="1" customFormat="1">
      <c r="A280" s="64"/>
      <c r="B280" s="77"/>
      <c r="C280" s="50"/>
      <c r="D280" s="50"/>
      <c r="E280" s="50"/>
      <c r="F280" s="65"/>
      <c r="G280" s="50"/>
      <c r="H280" s="54"/>
      <c r="I280" s="55"/>
    </row>
    <row r="281" spans="1:9" s="1" customFormat="1">
      <c r="A281" s="64"/>
      <c r="B281" s="77"/>
      <c r="C281" s="50"/>
      <c r="D281" s="50"/>
      <c r="E281" s="50"/>
      <c r="F281" s="65"/>
      <c r="G281" s="50"/>
      <c r="H281" s="54"/>
      <c r="I281" s="55"/>
    </row>
    <row r="282" spans="1:9" s="1" customFormat="1">
      <c r="A282" s="64"/>
      <c r="B282" s="77"/>
      <c r="C282" s="50"/>
      <c r="D282" s="50"/>
      <c r="E282" s="50"/>
      <c r="F282" s="65"/>
      <c r="G282" s="50"/>
      <c r="H282" s="54"/>
      <c r="I282" s="55"/>
    </row>
    <row r="283" spans="1:9" s="1" customFormat="1">
      <c r="A283" s="64"/>
      <c r="B283" s="77"/>
      <c r="C283" s="50"/>
      <c r="D283" s="50"/>
      <c r="E283" s="50"/>
      <c r="F283" s="65"/>
      <c r="G283" s="50"/>
      <c r="H283" s="54"/>
      <c r="I283" s="55"/>
    </row>
    <row r="284" spans="1:9" s="1" customFormat="1">
      <c r="A284" s="64"/>
      <c r="B284" s="77"/>
      <c r="C284" s="50"/>
      <c r="D284" s="50"/>
      <c r="E284" s="50"/>
      <c r="F284" s="65"/>
      <c r="G284" s="50"/>
      <c r="H284" s="54"/>
      <c r="I284" s="55"/>
    </row>
    <row r="285" spans="1:9" s="1" customFormat="1">
      <c r="A285" s="64"/>
      <c r="B285" s="77"/>
      <c r="C285" s="50"/>
      <c r="D285" s="50"/>
      <c r="E285" s="50"/>
      <c r="F285" s="65"/>
      <c r="G285" s="50"/>
      <c r="H285" s="54"/>
      <c r="I285" s="55"/>
    </row>
    <row r="286" spans="1:9" s="1" customFormat="1">
      <c r="A286" s="82"/>
      <c r="B286" s="56"/>
      <c r="C286" s="56"/>
      <c r="D286" s="56"/>
      <c r="E286" s="56"/>
      <c r="F286" s="56"/>
      <c r="G286" s="56"/>
      <c r="H286" s="56"/>
      <c r="I286" s="56"/>
    </row>
    <row r="287" spans="1:9" s="1" customFormat="1">
      <c r="A287" s="36"/>
      <c r="B287" s="50"/>
      <c r="C287" s="50"/>
      <c r="D287" s="50"/>
      <c r="E287" s="50"/>
      <c r="F287" s="36"/>
      <c r="G287" s="36"/>
      <c r="H287" s="36"/>
      <c r="I287" s="36"/>
    </row>
    <row r="288" spans="1:9" s="1" customFormat="1">
      <c r="A288" s="36"/>
      <c r="B288" s="36"/>
      <c r="C288" s="78"/>
      <c r="D288" s="78"/>
      <c r="E288" s="79"/>
      <c r="F288" s="80"/>
      <c r="G288" s="78"/>
      <c r="H288" s="36"/>
      <c r="I288" s="81"/>
    </row>
    <row r="289" spans="1:9" s="1" customFormat="1" ht="12">
      <c r="A289" s="4"/>
      <c r="B289" s="4"/>
      <c r="C289" s="4"/>
      <c r="D289" s="4"/>
      <c r="E289" s="4"/>
      <c r="F289" s="4"/>
      <c r="G289" s="4"/>
      <c r="H289" s="4"/>
      <c r="I289" s="4"/>
    </row>
    <row r="290" spans="1:9" s="1" customFormat="1" ht="20.25">
      <c r="A290" s="66"/>
      <c r="B290" s="67"/>
      <c r="C290" s="4"/>
      <c r="D290" s="4"/>
      <c r="E290" s="4"/>
      <c r="F290" s="4"/>
      <c r="G290" s="57"/>
      <c r="H290" s="57"/>
      <c r="I290" s="57"/>
    </row>
    <row r="291" spans="1:9" s="1" customFormat="1" ht="20.25">
      <c r="A291" s="57"/>
      <c r="B291" s="57"/>
      <c r="C291" s="57"/>
      <c r="D291" s="57"/>
      <c r="E291" s="57"/>
      <c r="F291" s="57"/>
      <c r="G291" s="57"/>
      <c r="H291" s="57"/>
      <c r="I291" s="57"/>
    </row>
    <row r="292" spans="1:9" s="1" customFormat="1" ht="33" customHeight="1">
      <c r="A292" s="618"/>
      <c r="B292" s="668"/>
      <c r="C292" s="668"/>
      <c r="D292" s="381"/>
      <c r="E292" s="57"/>
      <c r="F292" s="57"/>
      <c r="G292" s="57"/>
      <c r="H292" s="57"/>
      <c r="I292" s="57"/>
    </row>
    <row r="293" spans="1:9" s="1" customFormat="1">
      <c r="A293" s="68"/>
      <c r="B293" s="68"/>
      <c r="C293" s="68"/>
      <c r="D293" s="68"/>
      <c r="E293" s="68"/>
      <c r="F293" s="68"/>
      <c r="G293" s="69"/>
      <c r="H293" s="69"/>
      <c r="I293" s="615"/>
    </row>
    <row r="294" spans="1:9" s="1" customFormat="1">
      <c r="A294" s="68"/>
      <c r="B294" s="68"/>
      <c r="C294" s="68"/>
      <c r="D294" s="68"/>
      <c r="E294" s="68"/>
      <c r="F294" s="68"/>
      <c r="G294" s="69"/>
      <c r="H294" s="69"/>
      <c r="I294" s="615"/>
    </row>
    <row r="295" spans="1:9" s="1" customFormat="1">
      <c r="A295" s="36"/>
      <c r="B295" s="36"/>
      <c r="C295" s="36"/>
      <c r="D295" s="36"/>
      <c r="E295" s="36"/>
      <c r="F295" s="36"/>
      <c r="G295" s="36"/>
      <c r="H295" s="50"/>
      <c r="I295" s="36"/>
    </row>
    <row r="296" spans="1:9" s="1" customFormat="1">
      <c r="A296" s="36"/>
      <c r="B296" s="36"/>
      <c r="C296" s="36"/>
      <c r="D296" s="36"/>
      <c r="E296" s="36"/>
      <c r="F296" s="36"/>
      <c r="G296" s="58"/>
      <c r="H296" s="70"/>
      <c r="I296" s="50"/>
    </row>
    <row r="297" spans="1:9" s="1" customFormat="1">
      <c r="A297" s="36"/>
      <c r="B297" s="36"/>
      <c r="C297" s="36"/>
      <c r="D297" s="36"/>
      <c r="E297" s="36"/>
      <c r="F297" s="36"/>
      <c r="G297" s="59"/>
      <c r="H297" s="70"/>
      <c r="I297" s="50"/>
    </row>
    <row r="298" spans="1:9" s="1" customFormat="1">
      <c r="A298" s="36"/>
      <c r="B298" s="36"/>
      <c r="C298" s="36"/>
      <c r="D298" s="36"/>
      <c r="E298" s="36"/>
      <c r="F298" s="36"/>
      <c r="G298" s="60"/>
      <c r="H298" s="70"/>
      <c r="I298" s="50"/>
    </row>
    <row r="299" spans="1:9" s="1" customFormat="1">
      <c r="A299" s="36"/>
      <c r="B299" s="36"/>
      <c r="C299" s="36"/>
      <c r="D299" s="36"/>
      <c r="E299" s="36"/>
      <c r="F299" s="36"/>
      <c r="G299" s="60"/>
      <c r="H299" s="70"/>
      <c r="I299" s="50"/>
    </row>
    <row r="300" spans="1:9" s="1" customFormat="1">
      <c r="A300" s="36"/>
      <c r="B300" s="36"/>
      <c r="C300" s="36"/>
      <c r="D300" s="36"/>
      <c r="E300" s="36"/>
      <c r="F300" s="36"/>
      <c r="G300" s="60"/>
      <c r="H300" s="70"/>
      <c r="I300" s="50"/>
    </row>
    <row r="301" spans="1:9" s="1" customFormat="1">
      <c r="A301" s="36"/>
      <c r="B301" s="36"/>
      <c r="C301" s="36"/>
      <c r="D301" s="36"/>
      <c r="E301" s="36"/>
      <c r="F301" s="36"/>
      <c r="G301" s="60"/>
      <c r="H301" s="70"/>
      <c r="I301" s="50"/>
    </row>
    <row r="302" spans="1:9" s="1" customFormat="1">
      <c r="A302" s="36"/>
      <c r="B302" s="36"/>
      <c r="C302" s="36"/>
      <c r="D302" s="36"/>
      <c r="E302" s="36"/>
      <c r="F302" s="36"/>
      <c r="G302" s="36"/>
      <c r="H302" s="36"/>
      <c r="I302" s="36"/>
    </row>
    <row r="303" spans="1:9" s="1" customFormat="1">
      <c r="A303" s="68"/>
      <c r="B303" s="68"/>
      <c r="C303" s="68"/>
      <c r="D303" s="68"/>
      <c r="E303" s="68"/>
      <c r="F303" s="68"/>
      <c r="G303" s="622"/>
      <c r="H303" s="71"/>
      <c r="I303" s="71"/>
    </row>
    <row r="304" spans="1:9" s="1" customFormat="1">
      <c r="A304" s="68"/>
      <c r="B304" s="68"/>
      <c r="C304" s="68"/>
      <c r="D304" s="68"/>
      <c r="E304" s="68"/>
      <c r="F304" s="68"/>
      <c r="G304" s="622"/>
      <c r="H304" s="71"/>
      <c r="I304" s="71"/>
    </row>
    <row r="305" spans="1:9" s="1" customFormat="1">
      <c r="A305" s="61"/>
      <c r="B305" s="36"/>
      <c r="C305" s="62"/>
      <c r="D305" s="62"/>
      <c r="E305" s="62"/>
      <c r="F305" s="36"/>
      <c r="G305" s="62"/>
      <c r="H305" s="72"/>
      <c r="I305" s="50"/>
    </row>
    <row r="306" spans="1:9" s="1" customFormat="1">
      <c r="A306" s="36"/>
      <c r="B306" s="36"/>
      <c r="C306" s="36"/>
      <c r="D306" s="36"/>
      <c r="E306" s="36"/>
      <c r="F306" s="36"/>
      <c r="G306" s="50"/>
      <c r="H306" s="50"/>
      <c r="I306" s="70"/>
    </row>
    <row r="307" spans="1:9" s="1" customFormat="1">
      <c r="A307" s="36"/>
      <c r="B307" s="36"/>
      <c r="C307" s="36"/>
      <c r="D307" s="36"/>
      <c r="E307" s="36"/>
      <c r="F307" s="36"/>
      <c r="G307" s="70"/>
      <c r="H307" s="50"/>
      <c r="I307" s="50"/>
    </row>
    <row r="308" spans="1:9" s="1" customFormat="1">
      <c r="A308" s="36"/>
      <c r="B308" s="36"/>
      <c r="C308" s="36"/>
      <c r="D308" s="36"/>
      <c r="E308" s="36"/>
      <c r="F308" s="36"/>
      <c r="G308" s="47"/>
      <c r="H308" s="50"/>
      <c r="I308" s="50"/>
    </row>
    <row r="309" spans="1:9" s="1" customFormat="1">
      <c r="A309" s="36"/>
      <c r="B309" s="36"/>
      <c r="C309" s="36"/>
      <c r="D309" s="36"/>
      <c r="E309" s="36"/>
      <c r="F309" s="36"/>
      <c r="G309" s="73"/>
      <c r="H309" s="50"/>
      <c r="I309" s="50"/>
    </row>
    <row r="310" spans="1:9" s="1" customFormat="1">
      <c r="A310" s="36"/>
      <c r="B310" s="36"/>
      <c r="C310" s="36"/>
      <c r="D310" s="36"/>
      <c r="E310" s="36"/>
      <c r="F310" s="50"/>
      <c r="G310" s="36"/>
      <c r="H310" s="36"/>
      <c r="I310" s="36"/>
    </row>
    <row r="311" spans="1:9" s="1" customFormat="1">
      <c r="A311" s="63"/>
      <c r="B311" s="36"/>
      <c r="C311" s="36"/>
      <c r="D311" s="36"/>
      <c r="E311" s="36"/>
      <c r="F311" s="50"/>
      <c r="G311" s="36"/>
      <c r="H311" s="36"/>
      <c r="I311" s="36"/>
    </row>
    <row r="312" spans="1:9" s="1" customFormat="1">
      <c r="A312" s="36"/>
      <c r="B312" s="74"/>
      <c r="C312" s="36"/>
      <c r="D312" s="36"/>
      <c r="E312" s="36"/>
      <c r="F312" s="36"/>
      <c r="G312" s="36"/>
      <c r="H312" s="36"/>
      <c r="I312" s="36"/>
    </row>
    <row r="313" spans="1:9" s="1" customFormat="1">
      <c r="A313" s="619"/>
      <c r="B313" s="380"/>
      <c r="C313" s="380"/>
      <c r="D313" s="380"/>
      <c r="E313" s="619"/>
      <c r="F313" s="619"/>
      <c r="G313" s="619"/>
      <c r="H313" s="619"/>
      <c r="I313" s="619"/>
    </row>
    <row r="314" spans="1:9" s="1" customFormat="1">
      <c r="A314" s="619"/>
      <c r="B314" s="380"/>
      <c r="C314" s="380"/>
      <c r="D314" s="380"/>
      <c r="E314" s="380"/>
      <c r="F314" s="380"/>
      <c r="G314" s="620"/>
      <c r="H314" s="620"/>
      <c r="I314" s="620"/>
    </row>
    <row r="315" spans="1:9" s="1" customFormat="1">
      <c r="A315" s="64"/>
      <c r="B315" s="76"/>
      <c r="C315" s="50"/>
      <c r="D315" s="50"/>
      <c r="E315" s="50"/>
      <c r="F315" s="65"/>
      <c r="G315" s="50"/>
      <c r="H315" s="50"/>
      <c r="I315" s="55"/>
    </row>
    <row r="316" spans="1:9" s="1" customFormat="1">
      <c r="A316" s="64"/>
      <c r="B316" s="76"/>
      <c r="C316" s="50"/>
      <c r="D316" s="50"/>
      <c r="E316" s="50"/>
      <c r="F316" s="65"/>
      <c r="G316" s="50"/>
      <c r="H316" s="54"/>
      <c r="I316" s="55"/>
    </row>
    <row r="317" spans="1:9" s="1" customFormat="1">
      <c r="A317" s="64"/>
      <c r="B317" s="76"/>
      <c r="C317" s="50"/>
      <c r="D317" s="50"/>
      <c r="E317" s="50"/>
      <c r="F317" s="65"/>
      <c r="G317" s="50"/>
      <c r="H317" s="54"/>
      <c r="I317" s="36"/>
    </row>
    <row r="318" spans="1:9" s="1" customFormat="1">
      <c r="A318" s="64"/>
      <c r="B318" s="76"/>
      <c r="C318" s="50"/>
      <c r="D318" s="50"/>
      <c r="E318" s="50"/>
      <c r="F318" s="65"/>
      <c r="G318" s="50"/>
      <c r="H318" s="54"/>
      <c r="I318" s="55"/>
    </row>
    <row r="319" spans="1:9" s="1" customFormat="1">
      <c r="A319" s="64"/>
      <c r="B319" s="77"/>
      <c r="C319" s="50"/>
      <c r="D319" s="50"/>
      <c r="E319" s="50"/>
      <c r="F319" s="65"/>
      <c r="G319" s="50"/>
      <c r="H319" s="54"/>
      <c r="I319" s="55"/>
    </row>
    <row r="320" spans="1:9" s="1" customFormat="1">
      <c r="A320" s="64"/>
      <c r="B320" s="77"/>
      <c r="C320" s="50"/>
      <c r="D320" s="50"/>
      <c r="E320" s="50"/>
      <c r="F320" s="65"/>
      <c r="G320" s="50"/>
      <c r="H320" s="54"/>
      <c r="I320" s="55"/>
    </row>
    <row r="321" spans="1:9" s="1" customFormat="1">
      <c r="A321" s="64"/>
      <c r="B321" s="77"/>
      <c r="C321" s="50"/>
      <c r="D321" s="50"/>
      <c r="E321" s="50"/>
      <c r="F321" s="65"/>
      <c r="G321" s="50"/>
      <c r="H321" s="54"/>
      <c r="I321" s="55"/>
    </row>
    <row r="322" spans="1:9" s="1" customFormat="1">
      <c r="A322" s="64"/>
      <c r="B322" s="77"/>
      <c r="C322" s="50"/>
      <c r="D322" s="50"/>
      <c r="E322" s="50"/>
      <c r="F322" s="65"/>
      <c r="G322" s="50"/>
      <c r="H322" s="54"/>
      <c r="I322" s="55"/>
    </row>
    <row r="323" spans="1:9" s="1" customFormat="1">
      <c r="A323" s="64"/>
      <c r="B323" s="77"/>
      <c r="C323" s="50"/>
      <c r="D323" s="50"/>
      <c r="E323" s="50"/>
      <c r="F323" s="65"/>
      <c r="G323" s="50"/>
      <c r="H323" s="54"/>
      <c r="I323" s="55"/>
    </row>
    <row r="324" spans="1:9" s="1" customFormat="1">
      <c r="A324" s="64"/>
      <c r="B324" s="77"/>
      <c r="C324" s="50"/>
      <c r="D324" s="50"/>
      <c r="E324" s="50"/>
      <c r="F324" s="65"/>
      <c r="G324" s="50"/>
      <c r="H324" s="54"/>
      <c r="I324" s="55"/>
    </row>
    <row r="325" spans="1:9" s="1" customFormat="1">
      <c r="A325" s="64"/>
      <c r="B325" s="77"/>
      <c r="C325" s="50"/>
      <c r="D325" s="50"/>
      <c r="E325" s="50"/>
      <c r="F325" s="65"/>
      <c r="G325" s="50"/>
      <c r="H325" s="54"/>
      <c r="I325" s="55"/>
    </row>
    <row r="326" spans="1:9" s="1" customFormat="1">
      <c r="A326" s="64"/>
      <c r="B326" s="77"/>
      <c r="C326" s="50"/>
      <c r="D326" s="50"/>
      <c r="E326" s="50"/>
      <c r="F326" s="65"/>
      <c r="G326" s="50"/>
      <c r="H326" s="54"/>
      <c r="I326" s="55"/>
    </row>
    <row r="327" spans="1:9" s="1" customFormat="1">
      <c r="A327" s="64"/>
      <c r="B327" s="77"/>
      <c r="C327" s="50"/>
      <c r="D327" s="50"/>
      <c r="E327" s="50"/>
      <c r="F327" s="65"/>
      <c r="G327" s="50"/>
      <c r="H327" s="54"/>
      <c r="I327" s="55"/>
    </row>
    <row r="328" spans="1:9" s="1" customFormat="1">
      <c r="A328" s="64"/>
      <c r="B328" s="77"/>
      <c r="C328" s="50"/>
      <c r="D328" s="50"/>
      <c r="E328" s="50"/>
      <c r="F328" s="65"/>
      <c r="G328" s="50"/>
      <c r="H328" s="54"/>
      <c r="I328" s="55"/>
    </row>
    <row r="329" spans="1:9" s="1" customFormat="1">
      <c r="A329" s="64"/>
      <c r="B329" s="77"/>
      <c r="C329" s="50"/>
      <c r="D329" s="50"/>
      <c r="E329" s="50"/>
      <c r="F329" s="65"/>
      <c r="G329" s="50"/>
      <c r="H329" s="54"/>
      <c r="I329" s="55"/>
    </row>
    <row r="330" spans="1:9" s="1" customFormat="1">
      <c r="A330" s="64"/>
      <c r="B330" s="77"/>
      <c r="C330" s="50"/>
      <c r="D330" s="50"/>
      <c r="E330" s="50"/>
      <c r="F330" s="65"/>
      <c r="G330" s="50"/>
      <c r="H330" s="54"/>
      <c r="I330" s="55"/>
    </row>
    <row r="331" spans="1:9" s="1" customFormat="1">
      <c r="A331" s="64"/>
      <c r="B331" s="77"/>
      <c r="C331" s="50"/>
      <c r="D331" s="50"/>
      <c r="E331" s="50"/>
      <c r="F331" s="65"/>
      <c r="G331" s="50"/>
      <c r="H331" s="54"/>
      <c r="I331" s="55"/>
    </row>
    <row r="332" spans="1:9" s="1" customFormat="1">
      <c r="A332" s="64"/>
      <c r="B332" s="77"/>
      <c r="C332" s="50"/>
      <c r="D332" s="50"/>
      <c r="E332" s="50"/>
      <c r="F332" s="65"/>
      <c r="G332" s="50"/>
      <c r="H332" s="54"/>
      <c r="I332" s="55"/>
    </row>
    <row r="333" spans="1:9" s="1" customFormat="1">
      <c r="A333" s="64"/>
      <c r="B333" s="77"/>
      <c r="C333" s="50"/>
      <c r="D333" s="50"/>
      <c r="E333" s="50"/>
      <c r="F333" s="65"/>
      <c r="G333" s="50"/>
      <c r="H333" s="54"/>
      <c r="I333" s="55"/>
    </row>
    <row r="334" spans="1:9" s="1" customFormat="1">
      <c r="A334" s="64"/>
      <c r="B334" s="77"/>
      <c r="C334" s="50"/>
      <c r="D334" s="50"/>
      <c r="E334" s="50"/>
      <c r="F334" s="65"/>
      <c r="G334" s="50"/>
      <c r="H334" s="54"/>
      <c r="I334" s="55"/>
    </row>
    <row r="335" spans="1:9" s="1" customFormat="1">
      <c r="A335" s="64"/>
      <c r="B335" s="77"/>
      <c r="C335" s="50"/>
      <c r="D335" s="50"/>
      <c r="E335" s="50"/>
      <c r="F335" s="65"/>
      <c r="G335" s="50"/>
      <c r="H335" s="54"/>
      <c r="I335" s="55"/>
    </row>
    <row r="336" spans="1:9" s="1" customFormat="1">
      <c r="A336" s="64"/>
      <c r="B336" s="77"/>
      <c r="C336" s="50"/>
      <c r="D336" s="50"/>
      <c r="E336" s="50"/>
      <c r="F336" s="65"/>
      <c r="G336" s="50"/>
      <c r="H336" s="54"/>
      <c r="I336" s="55"/>
    </row>
    <row r="337" spans="1:9" s="1" customFormat="1">
      <c r="A337" s="64"/>
      <c r="B337" s="77"/>
      <c r="C337" s="50"/>
      <c r="D337" s="50"/>
      <c r="E337" s="50"/>
      <c r="F337" s="65"/>
      <c r="G337" s="50"/>
      <c r="H337" s="54"/>
      <c r="I337" s="55"/>
    </row>
    <row r="338" spans="1:9" s="1" customFormat="1">
      <c r="A338" s="64"/>
      <c r="B338" s="77"/>
      <c r="C338" s="50"/>
      <c r="D338" s="50"/>
      <c r="E338" s="50"/>
      <c r="F338" s="65"/>
      <c r="G338" s="50"/>
      <c r="H338" s="54"/>
      <c r="I338" s="55"/>
    </row>
    <row r="339" spans="1:9" s="1" customFormat="1">
      <c r="A339" s="64"/>
      <c r="B339" s="77"/>
      <c r="C339" s="50"/>
      <c r="D339" s="50"/>
      <c r="E339" s="50"/>
      <c r="F339" s="65"/>
      <c r="G339" s="50"/>
      <c r="H339" s="54"/>
      <c r="I339" s="55"/>
    </row>
    <row r="340" spans="1:9" s="1" customFormat="1">
      <c r="A340" s="82"/>
      <c r="B340" s="56"/>
      <c r="C340" s="56"/>
      <c r="D340" s="56"/>
      <c r="E340" s="56"/>
      <c r="F340" s="56"/>
      <c r="G340" s="56"/>
      <c r="H340" s="56"/>
      <c r="I340" s="56"/>
    </row>
    <row r="341" spans="1:9" s="1" customFormat="1">
      <c r="A341" s="36"/>
      <c r="B341" s="50"/>
      <c r="C341" s="50"/>
      <c r="D341" s="50"/>
      <c r="E341" s="50"/>
      <c r="F341" s="36"/>
      <c r="G341" s="36"/>
      <c r="H341" s="36"/>
      <c r="I341" s="36"/>
    </row>
    <row r="342" spans="1:9" s="1" customFormat="1">
      <c r="A342" s="36"/>
      <c r="B342" s="36"/>
      <c r="C342" s="78"/>
      <c r="D342" s="78"/>
      <c r="E342" s="79"/>
      <c r="F342" s="80"/>
      <c r="G342" s="78"/>
      <c r="H342" s="36"/>
      <c r="I342" s="81"/>
    </row>
    <row r="343" spans="1:9" s="1" customFormat="1" ht="12">
      <c r="A343" s="4"/>
      <c r="B343" s="4"/>
      <c r="C343" s="4"/>
      <c r="D343" s="4"/>
      <c r="E343" s="4"/>
      <c r="F343" s="4"/>
      <c r="G343" s="4"/>
      <c r="H343" s="4"/>
      <c r="I343" s="4"/>
    </row>
    <row r="344" spans="1:9" s="1" customFormat="1" ht="12">
      <c r="A344" s="4"/>
      <c r="B344" s="4"/>
      <c r="C344" s="4"/>
      <c r="D344" s="4"/>
      <c r="E344" s="4"/>
      <c r="F344" s="4"/>
      <c r="G344" s="4"/>
      <c r="H344" s="4"/>
      <c r="I344" s="4"/>
    </row>
    <row r="345" spans="1:9" s="1" customFormat="1" ht="20.25">
      <c r="A345" s="52"/>
      <c r="B345" s="51"/>
      <c r="G345" s="53"/>
      <c r="H345" s="53"/>
      <c r="I345" s="53"/>
    </row>
    <row r="346" spans="1:9" s="1" customFormat="1" ht="20.25">
      <c r="A346" s="53"/>
      <c r="B346" s="53"/>
      <c r="C346" s="53"/>
      <c r="D346" s="53"/>
      <c r="E346" s="53"/>
      <c r="F346" s="53"/>
      <c r="G346" s="53"/>
      <c r="H346" s="53"/>
      <c r="I346" s="53"/>
    </row>
    <row r="347" spans="1:9" s="4" customFormat="1" ht="42.75" customHeight="1">
      <c r="A347" s="618"/>
      <c r="B347" s="668"/>
      <c r="C347" s="668"/>
      <c r="D347" s="381"/>
      <c r="E347" s="57"/>
      <c r="F347" s="57"/>
      <c r="G347" s="57"/>
      <c r="H347" s="57"/>
      <c r="I347" s="57"/>
    </row>
    <row r="348" spans="1:9" s="4" customFormat="1">
      <c r="A348" s="68"/>
      <c r="B348" s="68"/>
      <c r="C348" s="68"/>
      <c r="D348" s="68"/>
      <c r="E348" s="68"/>
      <c r="F348" s="68"/>
      <c r="G348" s="69"/>
      <c r="H348" s="69"/>
      <c r="I348" s="615"/>
    </row>
    <row r="349" spans="1:9" s="4" customFormat="1">
      <c r="A349" s="68"/>
      <c r="B349" s="68"/>
      <c r="C349" s="68"/>
      <c r="D349" s="68"/>
      <c r="E349" s="68"/>
      <c r="F349" s="68"/>
      <c r="G349" s="69"/>
      <c r="H349" s="69"/>
      <c r="I349" s="615"/>
    </row>
    <row r="350" spans="1:9" s="4" customFormat="1">
      <c r="A350" s="36"/>
      <c r="B350" s="36"/>
      <c r="C350" s="36"/>
      <c r="D350" s="36"/>
      <c r="E350" s="36"/>
      <c r="F350" s="36"/>
      <c r="G350" s="36"/>
      <c r="H350" s="50"/>
      <c r="I350" s="36"/>
    </row>
    <row r="351" spans="1:9" s="4" customFormat="1">
      <c r="A351" s="36"/>
      <c r="B351" s="36"/>
      <c r="C351" s="36"/>
      <c r="D351" s="36"/>
      <c r="E351" s="36"/>
      <c r="F351" s="36"/>
      <c r="G351" s="58"/>
      <c r="H351" s="70"/>
      <c r="I351" s="50"/>
    </row>
    <row r="352" spans="1:9" s="4" customFormat="1">
      <c r="A352" s="36"/>
      <c r="B352" s="36"/>
      <c r="C352" s="36"/>
      <c r="D352" s="36"/>
      <c r="E352" s="36"/>
      <c r="F352" s="36"/>
      <c r="G352" s="59"/>
      <c r="H352" s="70"/>
      <c r="I352" s="50"/>
    </row>
    <row r="353" spans="1:9" s="4" customFormat="1">
      <c r="A353" s="36"/>
      <c r="B353" s="36"/>
      <c r="C353" s="36"/>
      <c r="D353" s="36"/>
      <c r="E353" s="36"/>
      <c r="F353" s="36"/>
      <c r="G353" s="60"/>
      <c r="H353" s="70"/>
      <c r="I353" s="50"/>
    </row>
    <row r="354" spans="1:9" s="4" customFormat="1">
      <c r="A354" s="36"/>
      <c r="B354" s="36"/>
      <c r="C354" s="36"/>
      <c r="D354" s="36"/>
      <c r="E354" s="36"/>
      <c r="F354" s="36"/>
      <c r="G354" s="60"/>
      <c r="H354" s="70"/>
      <c r="I354" s="50"/>
    </row>
    <row r="355" spans="1:9" s="4" customFormat="1">
      <c r="A355" s="36"/>
      <c r="B355" s="36"/>
      <c r="C355" s="36"/>
      <c r="D355" s="36"/>
      <c r="E355" s="36"/>
      <c r="F355" s="36"/>
      <c r="G355" s="60"/>
      <c r="H355" s="70"/>
      <c r="I355" s="50"/>
    </row>
    <row r="356" spans="1:9" s="4" customFormat="1">
      <c r="A356" s="36"/>
      <c r="B356" s="36"/>
      <c r="C356" s="36"/>
      <c r="D356" s="36"/>
      <c r="E356" s="36"/>
      <c r="F356" s="36"/>
      <c r="G356" s="60"/>
      <c r="H356" s="70"/>
      <c r="I356" s="50"/>
    </row>
    <row r="357" spans="1:9" s="4" customFormat="1">
      <c r="A357" s="36"/>
      <c r="B357" s="36"/>
      <c r="C357" s="36"/>
      <c r="D357" s="36"/>
      <c r="E357" s="36"/>
      <c r="F357" s="36"/>
      <c r="G357" s="36"/>
      <c r="H357" s="36"/>
      <c r="I357" s="36"/>
    </row>
    <row r="358" spans="1:9" s="4" customFormat="1">
      <c r="A358" s="68"/>
      <c r="B358" s="68"/>
      <c r="C358" s="68"/>
      <c r="D358" s="68"/>
      <c r="E358" s="68"/>
      <c r="F358" s="68"/>
      <c r="G358" s="622"/>
      <c r="H358" s="71"/>
      <c r="I358" s="71"/>
    </row>
    <row r="359" spans="1:9" s="4" customFormat="1">
      <c r="A359" s="68"/>
      <c r="B359" s="68"/>
      <c r="C359" s="68"/>
      <c r="D359" s="68"/>
      <c r="E359" s="68"/>
      <c r="F359" s="68"/>
      <c r="G359" s="622"/>
      <c r="H359" s="71"/>
      <c r="I359" s="71"/>
    </row>
    <row r="360" spans="1:9" s="4" customFormat="1">
      <c r="A360" s="61"/>
      <c r="B360" s="36"/>
      <c r="C360" s="62"/>
      <c r="D360" s="62"/>
      <c r="E360" s="62"/>
      <c r="F360" s="36"/>
      <c r="G360" s="62"/>
      <c r="H360" s="72"/>
      <c r="I360" s="50"/>
    </row>
    <row r="361" spans="1:9" s="4" customFormat="1">
      <c r="A361" s="36"/>
      <c r="B361" s="36"/>
      <c r="C361" s="36"/>
      <c r="D361" s="36"/>
      <c r="E361" s="36"/>
      <c r="F361" s="36"/>
      <c r="G361" s="50"/>
      <c r="H361" s="50"/>
      <c r="I361" s="70"/>
    </row>
    <row r="362" spans="1:9" s="4" customFormat="1">
      <c r="A362" s="36"/>
      <c r="B362" s="36"/>
      <c r="C362" s="36"/>
      <c r="D362" s="36"/>
      <c r="E362" s="36"/>
      <c r="F362" s="36"/>
      <c r="G362" s="70"/>
      <c r="H362" s="50"/>
      <c r="I362" s="50"/>
    </row>
    <row r="363" spans="1:9" s="4" customFormat="1">
      <c r="A363" s="36"/>
      <c r="B363" s="36"/>
      <c r="C363" s="36"/>
      <c r="D363" s="36"/>
      <c r="E363" s="36"/>
      <c r="F363" s="36"/>
      <c r="G363" s="47"/>
      <c r="H363" s="50"/>
      <c r="I363" s="50"/>
    </row>
    <row r="364" spans="1:9" s="4" customFormat="1">
      <c r="A364" s="36"/>
      <c r="B364" s="36"/>
      <c r="C364" s="36"/>
      <c r="D364" s="36"/>
      <c r="E364" s="36"/>
      <c r="F364" s="36"/>
      <c r="G364" s="73"/>
      <c r="H364" s="50"/>
      <c r="I364" s="50"/>
    </row>
    <row r="365" spans="1:9" s="4" customFormat="1">
      <c r="A365" s="36"/>
      <c r="B365" s="36"/>
      <c r="C365" s="36"/>
      <c r="D365" s="36"/>
      <c r="E365" s="36"/>
      <c r="F365" s="50"/>
      <c r="G365" s="36"/>
      <c r="H365" s="36"/>
      <c r="I365" s="36"/>
    </row>
    <row r="366" spans="1:9" s="4" customFormat="1">
      <c r="A366" s="63"/>
      <c r="B366" s="36"/>
      <c r="C366" s="36"/>
      <c r="D366" s="36"/>
      <c r="E366" s="36"/>
      <c r="F366" s="50"/>
      <c r="G366" s="36"/>
      <c r="H366" s="36"/>
      <c r="I366" s="36"/>
    </row>
    <row r="367" spans="1:9" s="4" customFormat="1">
      <c r="A367" s="36"/>
      <c r="B367" s="74"/>
      <c r="C367" s="36"/>
      <c r="D367" s="36"/>
      <c r="E367" s="36"/>
      <c r="F367" s="36"/>
      <c r="G367" s="36"/>
      <c r="H367" s="36"/>
      <c r="I367" s="36"/>
    </row>
    <row r="368" spans="1:9" s="4" customFormat="1">
      <c r="A368" s="619"/>
      <c r="B368" s="380"/>
      <c r="C368" s="380"/>
      <c r="D368" s="380"/>
      <c r="E368" s="619"/>
      <c r="F368" s="619"/>
      <c r="G368" s="619"/>
      <c r="H368" s="619"/>
      <c r="I368" s="619"/>
    </row>
    <row r="369" spans="1:9" s="4" customFormat="1">
      <c r="A369" s="619"/>
      <c r="B369" s="380"/>
      <c r="C369" s="380"/>
      <c r="D369" s="380"/>
      <c r="E369" s="380"/>
      <c r="F369" s="380"/>
      <c r="G369" s="620"/>
      <c r="H369" s="620"/>
      <c r="I369" s="620"/>
    </row>
    <row r="370" spans="1:9" s="4" customFormat="1">
      <c r="A370" s="64"/>
      <c r="B370" s="76"/>
      <c r="C370" s="50"/>
      <c r="D370" s="50"/>
      <c r="E370" s="50"/>
      <c r="F370" s="65"/>
      <c r="G370" s="50"/>
      <c r="H370" s="50"/>
      <c r="I370" s="55"/>
    </row>
    <row r="371" spans="1:9" s="4" customFormat="1">
      <c r="A371" s="64"/>
      <c r="B371" s="76"/>
      <c r="C371" s="50"/>
      <c r="D371" s="50"/>
      <c r="E371" s="50"/>
      <c r="F371" s="65"/>
      <c r="G371" s="50"/>
      <c r="H371" s="54"/>
      <c r="I371" s="55"/>
    </row>
    <row r="372" spans="1:9" s="4" customFormat="1">
      <c r="A372" s="64"/>
      <c r="B372" s="76"/>
      <c r="C372" s="50"/>
      <c r="D372" s="50"/>
      <c r="E372" s="50"/>
      <c r="F372" s="65"/>
      <c r="G372" s="50"/>
      <c r="H372" s="54"/>
      <c r="I372" s="36"/>
    </row>
    <row r="373" spans="1:9" s="4" customFormat="1">
      <c r="A373" s="64"/>
      <c r="B373" s="76"/>
      <c r="C373" s="50"/>
      <c r="D373" s="50"/>
      <c r="E373" s="50"/>
      <c r="F373" s="65"/>
      <c r="G373" s="50"/>
      <c r="H373" s="54"/>
      <c r="I373" s="55"/>
    </row>
    <row r="374" spans="1:9" s="4" customFormat="1">
      <c r="A374" s="64"/>
      <c r="B374" s="77"/>
      <c r="C374" s="50"/>
      <c r="D374" s="50"/>
      <c r="E374" s="50"/>
      <c r="F374" s="65"/>
      <c r="G374" s="50"/>
      <c r="H374" s="54"/>
      <c r="I374" s="55"/>
    </row>
    <row r="375" spans="1:9" s="4" customFormat="1">
      <c r="A375" s="64"/>
      <c r="B375" s="77"/>
      <c r="C375" s="50"/>
      <c r="D375" s="50"/>
      <c r="E375" s="50"/>
      <c r="F375" s="65"/>
      <c r="G375" s="50"/>
      <c r="H375" s="54"/>
      <c r="I375" s="55"/>
    </row>
    <row r="376" spans="1:9" s="4" customFormat="1">
      <c r="A376" s="64"/>
      <c r="B376" s="77"/>
      <c r="C376" s="50"/>
      <c r="D376" s="50"/>
      <c r="E376" s="50"/>
      <c r="F376" s="65"/>
      <c r="G376" s="50"/>
      <c r="H376" s="54"/>
      <c r="I376" s="55"/>
    </row>
    <row r="377" spans="1:9" s="4" customFormat="1">
      <c r="A377" s="64"/>
      <c r="B377" s="77"/>
      <c r="C377" s="50"/>
      <c r="D377" s="50"/>
      <c r="E377" s="50"/>
      <c r="F377" s="65"/>
      <c r="G377" s="50"/>
      <c r="H377" s="54"/>
      <c r="I377" s="55"/>
    </row>
    <row r="378" spans="1:9" s="4" customFormat="1">
      <c r="A378" s="64"/>
      <c r="B378" s="77"/>
      <c r="C378" s="50"/>
      <c r="D378" s="50"/>
      <c r="E378" s="50"/>
      <c r="F378" s="65"/>
      <c r="G378" s="50"/>
      <c r="H378" s="54"/>
      <c r="I378" s="55"/>
    </row>
    <row r="379" spans="1:9" s="4" customFormat="1">
      <c r="A379" s="64"/>
      <c r="B379" s="77"/>
      <c r="C379" s="50"/>
      <c r="D379" s="50"/>
      <c r="E379" s="50"/>
      <c r="F379" s="65"/>
      <c r="G379" s="50"/>
      <c r="H379" s="54"/>
      <c r="I379" s="55"/>
    </row>
    <row r="380" spans="1:9" s="4" customFormat="1">
      <c r="A380" s="64"/>
      <c r="B380" s="77"/>
      <c r="C380" s="50"/>
      <c r="D380" s="50"/>
      <c r="E380" s="50"/>
      <c r="F380" s="65"/>
      <c r="G380" s="50"/>
      <c r="H380" s="54"/>
      <c r="I380" s="55"/>
    </row>
    <row r="381" spans="1:9" s="4" customFormat="1">
      <c r="A381" s="64"/>
      <c r="B381" s="77"/>
      <c r="C381" s="50"/>
      <c r="D381" s="50"/>
      <c r="E381" s="50"/>
      <c r="F381" s="65"/>
      <c r="G381" s="50"/>
      <c r="H381" s="54"/>
      <c r="I381" s="55"/>
    </row>
    <row r="382" spans="1:9" s="4" customFormat="1">
      <c r="A382" s="64"/>
      <c r="B382" s="77"/>
      <c r="C382" s="50"/>
      <c r="D382" s="50"/>
      <c r="E382" s="50"/>
      <c r="F382" s="65"/>
      <c r="G382" s="50"/>
      <c r="H382" s="54"/>
      <c r="I382" s="55"/>
    </row>
    <row r="383" spans="1:9" s="4" customFormat="1">
      <c r="A383" s="64"/>
      <c r="B383" s="77"/>
      <c r="C383" s="50"/>
      <c r="D383" s="50"/>
      <c r="E383" s="50"/>
      <c r="F383" s="65"/>
      <c r="G383" s="50"/>
      <c r="H383" s="54"/>
      <c r="I383" s="55"/>
    </row>
    <row r="384" spans="1:9" s="4" customFormat="1">
      <c r="A384" s="64"/>
      <c r="B384" s="77"/>
      <c r="C384" s="50"/>
      <c r="D384" s="50"/>
      <c r="E384" s="50"/>
      <c r="F384" s="65"/>
      <c r="G384" s="50"/>
      <c r="H384" s="54"/>
      <c r="I384" s="55"/>
    </row>
    <row r="385" spans="1:9" s="4" customFormat="1">
      <c r="A385" s="64"/>
      <c r="B385" s="77"/>
      <c r="C385" s="50"/>
      <c r="D385" s="50"/>
      <c r="E385" s="50"/>
      <c r="F385" s="65"/>
      <c r="G385" s="50"/>
      <c r="H385" s="54"/>
      <c r="I385" s="55"/>
    </row>
    <row r="386" spans="1:9" s="4" customFormat="1">
      <c r="A386" s="64"/>
      <c r="B386" s="77"/>
      <c r="C386" s="50"/>
      <c r="D386" s="50"/>
      <c r="E386" s="50"/>
      <c r="F386" s="65"/>
      <c r="G386" s="50"/>
      <c r="H386" s="54"/>
      <c r="I386" s="55"/>
    </row>
    <row r="387" spans="1:9" s="4" customFormat="1">
      <c r="A387" s="64"/>
      <c r="B387" s="77"/>
      <c r="C387" s="50"/>
      <c r="D387" s="50"/>
      <c r="E387" s="50"/>
      <c r="F387" s="65"/>
      <c r="G387" s="50"/>
      <c r="H387" s="54"/>
      <c r="I387" s="55"/>
    </row>
    <row r="388" spans="1:9" s="4" customFormat="1">
      <c r="A388" s="64"/>
      <c r="B388" s="77"/>
      <c r="C388" s="50"/>
      <c r="D388" s="50"/>
      <c r="E388" s="50"/>
      <c r="F388" s="65"/>
      <c r="G388" s="50"/>
      <c r="H388" s="54"/>
      <c r="I388" s="55"/>
    </row>
    <row r="389" spans="1:9" s="4" customFormat="1">
      <c r="A389" s="64"/>
      <c r="B389" s="77"/>
      <c r="C389" s="50"/>
      <c r="D389" s="50"/>
      <c r="E389" s="50"/>
      <c r="F389" s="65"/>
      <c r="G389" s="50"/>
      <c r="H389" s="54"/>
      <c r="I389" s="55"/>
    </row>
    <row r="390" spans="1:9" s="4" customFormat="1">
      <c r="A390" s="64"/>
      <c r="B390" s="77"/>
      <c r="C390" s="50"/>
      <c r="D390" s="50"/>
      <c r="E390" s="50"/>
      <c r="F390" s="65"/>
      <c r="G390" s="50"/>
      <c r="H390" s="54"/>
      <c r="I390" s="55"/>
    </row>
    <row r="391" spans="1:9" s="4" customFormat="1">
      <c r="A391" s="64"/>
      <c r="B391" s="77"/>
      <c r="C391" s="50"/>
      <c r="D391" s="50"/>
      <c r="E391" s="50"/>
      <c r="F391" s="65"/>
      <c r="G391" s="50"/>
      <c r="H391" s="54"/>
      <c r="I391" s="55"/>
    </row>
    <row r="392" spans="1:9" s="4" customFormat="1">
      <c r="A392" s="64"/>
      <c r="B392" s="77"/>
      <c r="C392" s="50"/>
      <c r="D392" s="50"/>
      <c r="E392" s="50"/>
      <c r="F392" s="65"/>
      <c r="G392" s="50"/>
      <c r="H392" s="54"/>
      <c r="I392" s="55"/>
    </row>
    <row r="393" spans="1:9" s="4" customFormat="1">
      <c r="A393" s="64"/>
      <c r="B393" s="77"/>
      <c r="C393" s="50"/>
      <c r="D393" s="50"/>
      <c r="E393" s="50"/>
      <c r="F393" s="65"/>
      <c r="G393" s="50"/>
      <c r="H393" s="54"/>
      <c r="I393" s="55"/>
    </row>
    <row r="394" spans="1:9" s="4" customFormat="1">
      <c r="A394" s="64"/>
      <c r="B394" s="77"/>
      <c r="C394" s="50"/>
      <c r="D394" s="50"/>
      <c r="E394" s="50"/>
      <c r="F394" s="65"/>
      <c r="G394" s="50"/>
      <c r="H394" s="54"/>
      <c r="I394" s="55"/>
    </row>
    <row r="395" spans="1:9" s="4" customFormat="1">
      <c r="A395" s="82"/>
      <c r="B395" s="56"/>
      <c r="C395" s="56"/>
      <c r="D395" s="56"/>
      <c r="E395" s="56"/>
      <c r="F395" s="56"/>
      <c r="G395" s="56"/>
      <c r="H395" s="56"/>
      <c r="I395" s="56"/>
    </row>
    <row r="396" spans="1:9" s="4" customFormat="1">
      <c r="A396" s="36"/>
      <c r="B396" s="50"/>
      <c r="C396" s="50"/>
      <c r="D396" s="50"/>
      <c r="E396" s="50"/>
      <c r="F396" s="36"/>
      <c r="G396" s="36"/>
      <c r="H396" s="36"/>
      <c r="I396" s="36"/>
    </row>
    <row r="397" spans="1:9" s="4" customFormat="1">
      <c r="A397" s="36"/>
      <c r="B397" s="36"/>
      <c r="C397" s="78"/>
      <c r="D397" s="78"/>
      <c r="E397" s="79"/>
      <c r="F397" s="80"/>
      <c r="G397" s="78"/>
      <c r="H397" s="36"/>
      <c r="I397" s="81"/>
    </row>
    <row r="398" spans="1:9" s="4" customFormat="1" ht="12"/>
    <row r="399" spans="1:9" s="4" customFormat="1" ht="20.25">
      <c r="A399" s="66"/>
      <c r="B399" s="67"/>
      <c r="G399" s="57"/>
      <c r="H399" s="57"/>
      <c r="I399" s="57"/>
    </row>
    <row r="400" spans="1:9" s="4" customFormat="1" ht="41.25" customHeight="1">
      <c r="A400" s="618"/>
      <c r="B400" s="668"/>
      <c r="C400" s="668"/>
      <c r="D400" s="381"/>
      <c r="E400" s="57"/>
      <c r="F400" s="57"/>
      <c r="G400" s="57"/>
      <c r="H400" s="57"/>
      <c r="I400" s="57"/>
    </row>
    <row r="401" spans="1:9" s="4" customFormat="1">
      <c r="A401" s="68"/>
      <c r="B401" s="68"/>
      <c r="C401" s="68"/>
      <c r="D401" s="68"/>
      <c r="E401" s="68"/>
      <c r="F401" s="68"/>
      <c r="G401" s="69"/>
      <c r="H401" s="69"/>
      <c r="I401" s="615"/>
    </row>
    <row r="402" spans="1:9" s="4" customFormat="1">
      <c r="A402" s="68"/>
      <c r="B402" s="68"/>
      <c r="C402" s="68"/>
      <c r="D402" s="68"/>
      <c r="E402" s="68"/>
      <c r="F402" s="68"/>
      <c r="G402" s="69"/>
      <c r="H402" s="69"/>
      <c r="I402" s="615"/>
    </row>
    <row r="403" spans="1:9" s="4" customFormat="1">
      <c r="A403" s="36"/>
      <c r="B403" s="36"/>
      <c r="C403" s="36"/>
      <c r="D403" s="36"/>
      <c r="E403" s="36"/>
      <c r="F403" s="36"/>
      <c r="G403" s="36"/>
      <c r="H403" s="50"/>
      <c r="I403" s="36"/>
    </row>
    <row r="404" spans="1:9" s="4" customFormat="1">
      <c r="A404" s="36"/>
      <c r="B404" s="36"/>
      <c r="C404" s="36"/>
      <c r="D404" s="36"/>
      <c r="E404" s="36"/>
      <c r="F404" s="36"/>
      <c r="G404" s="59"/>
      <c r="H404" s="70"/>
      <c r="I404" s="50"/>
    </row>
    <row r="405" spans="1:9" s="4" customFormat="1">
      <c r="A405" s="36"/>
      <c r="B405" s="36"/>
      <c r="C405" s="36"/>
      <c r="D405" s="36"/>
      <c r="E405" s="36"/>
      <c r="F405" s="36"/>
      <c r="G405" s="59"/>
      <c r="H405" s="70"/>
      <c r="I405" s="50"/>
    </row>
    <row r="406" spans="1:9" s="4" customFormat="1">
      <c r="A406" s="36"/>
      <c r="B406" s="36"/>
      <c r="C406" s="36"/>
      <c r="D406" s="36"/>
      <c r="E406" s="36"/>
      <c r="F406" s="36"/>
      <c r="G406" s="60"/>
      <c r="H406" s="70"/>
      <c r="I406" s="50"/>
    </row>
    <row r="407" spans="1:9" s="4" customFormat="1">
      <c r="A407" s="36"/>
      <c r="B407" s="36"/>
      <c r="C407" s="36"/>
      <c r="D407" s="36"/>
      <c r="E407" s="36"/>
      <c r="F407" s="36"/>
      <c r="G407" s="60"/>
      <c r="H407" s="70"/>
      <c r="I407" s="50"/>
    </row>
    <row r="408" spans="1:9" s="4" customFormat="1">
      <c r="A408" s="36"/>
      <c r="B408" s="36"/>
      <c r="C408" s="36"/>
      <c r="D408" s="36"/>
      <c r="E408" s="36"/>
      <c r="F408" s="36"/>
      <c r="G408" s="60"/>
      <c r="H408" s="70"/>
      <c r="I408" s="50"/>
    </row>
    <row r="409" spans="1:9" s="4" customFormat="1">
      <c r="A409" s="36"/>
      <c r="B409" s="36"/>
      <c r="C409" s="36"/>
      <c r="D409" s="36"/>
      <c r="E409" s="36"/>
      <c r="F409" s="36"/>
      <c r="G409" s="60"/>
      <c r="H409" s="70"/>
      <c r="I409" s="50"/>
    </row>
    <row r="410" spans="1:9" s="4" customFormat="1">
      <c r="A410" s="36"/>
      <c r="B410" s="36"/>
      <c r="C410" s="36"/>
      <c r="D410" s="36"/>
      <c r="E410" s="36"/>
      <c r="F410" s="36"/>
      <c r="G410" s="36"/>
      <c r="H410" s="36"/>
      <c r="I410" s="36"/>
    </row>
    <row r="411" spans="1:9" s="4" customFormat="1">
      <c r="A411" s="68"/>
      <c r="B411" s="68"/>
      <c r="C411" s="68"/>
      <c r="D411" s="68"/>
      <c r="E411" s="68"/>
      <c r="F411" s="68"/>
      <c r="G411" s="622"/>
      <c r="H411" s="71"/>
      <c r="I411" s="71"/>
    </row>
    <row r="412" spans="1:9" s="4" customFormat="1">
      <c r="A412" s="68"/>
      <c r="B412" s="68"/>
      <c r="C412" s="68"/>
      <c r="D412" s="68"/>
      <c r="E412" s="68"/>
      <c r="F412" s="68"/>
      <c r="G412" s="622"/>
      <c r="H412" s="71"/>
      <c r="I412" s="71"/>
    </row>
    <row r="413" spans="1:9" s="4" customFormat="1">
      <c r="A413" s="61"/>
      <c r="B413" s="36"/>
      <c r="C413" s="62"/>
      <c r="D413" s="62"/>
      <c r="E413" s="62"/>
      <c r="F413" s="36"/>
      <c r="G413" s="62"/>
      <c r="H413" s="72"/>
      <c r="I413" s="50"/>
    </row>
    <row r="414" spans="1:9" s="4" customFormat="1">
      <c r="A414" s="36"/>
      <c r="B414" s="36"/>
      <c r="C414" s="36"/>
      <c r="D414" s="36"/>
      <c r="E414" s="36"/>
      <c r="F414" s="36"/>
      <c r="G414" s="50"/>
      <c r="H414" s="50"/>
      <c r="I414" s="70"/>
    </row>
    <row r="415" spans="1:9" s="4" customFormat="1">
      <c r="A415" s="36"/>
      <c r="B415" s="36"/>
      <c r="C415" s="36"/>
      <c r="D415" s="36"/>
      <c r="E415" s="36"/>
      <c r="F415" s="36"/>
      <c r="G415" s="70"/>
      <c r="H415" s="50"/>
      <c r="I415" s="50"/>
    </row>
    <row r="416" spans="1:9" s="4" customFormat="1">
      <c r="A416" s="36"/>
      <c r="B416" s="36"/>
      <c r="C416" s="36"/>
      <c r="D416" s="36"/>
      <c r="E416" s="36"/>
      <c r="F416" s="36"/>
      <c r="G416" s="47"/>
      <c r="H416" s="50"/>
      <c r="I416" s="50"/>
    </row>
    <row r="417" spans="1:9" s="4" customFormat="1">
      <c r="A417" s="36"/>
      <c r="B417" s="36"/>
      <c r="C417" s="36"/>
      <c r="D417" s="36"/>
      <c r="E417" s="36"/>
      <c r="F417" s="36"/>
      <c r="G417" s="73"/>
      <c r="H417" s="50"/>
      <c r="I417" s="50"/>
    </row>
    <row r="418" spans="1:9" s="4" customFormat="1">
      <c r="A418" s="36"/>
      <c r="B418" s="36"/>
      <c r="C418" s="36"/>
      <c r="D418" s="36"/>
      <c r="E418" s="36"/>
      <c r="F418" s="50"/>
      <c r="G418" s="36"/>
      <c r="H418" s="36"/>
      <c r="I418" s="36"/>
    </row>
    <row r="419" spans="1:9" s="4" customFormat="1">
      <c r="A419" s="63"/>
      <c r="B419" s="36"/>
      <c r="C419" s="36"/>
      <c r="D419" s="36"/>
      <c r="E419" s="36"/>
      <c r="F419" s="50"/>
      <c r="G419" s="36"/>
      <c r="H419" s="36"/>
      <c r="I419" s="36"/>
    </row>
    <row r="420" spans="1:9" s="4" customFormat="1">
      <c r="A420" s="36"/>
      <c r="B420" s="74"/>
      <c r="C420" s="36"/>
      <c r="D420" s="36"/>
      <c r="E420" s="36"/>
      <c r="F420" s="36"/>
      <c r="G420" s="36"/>
      <c r="H420" s="36"/>
      <c r="I420" s="36"/>
    </row>
    <row r="421" spans="1:9" s="4" customFormat="1">
      <c r="A421" s="619"/>
      <c r="B421" s="380"/>
      <c r="C421" s="380"/>
      <c r="D421" s="380"/>
      <c r="E421" s="619"/>
      <c r="F421" s="619"/>
      <c r="G421" s="619"/>
      <c r="H421" s="619"/>
      <c r="I421" s="619"/>
    </row>
    <row r="422" spans="1:9" s="4" customFormat="1">
      <c r="A422" s="619"/>
      <c r="B422" s="380"/>
      <c r="C422" s="380"/>
      <c r="D422" s="380"/>
      <c r="E422" s="380"/>
      <c r="F422" s="380"/>
      <c r="G422" s="620"/>
      <c r="H422" s="620"/>
      <c r="I422" s="620"/>
    </row>
    <row r="423" spans="1:9" s="4" customFormat="1">
      <c r="A423" s="64"/>
      <c r="B423" s="76"/>
      <c r="C423" s="50"/>
      <c r="D423" s="50"/>
      <c r="E423" s="50"/>
      <c r="F423" s="65"/>
      <c r="G423" s="50"/>
      <c r="H423" s="50"/>
      <c r="I423" s="55"/>
    </row>
    <row r="424" spans="1:9" s="4" customFormat="1">
      <c r="A424" s="64"/>
      <c r="B424" s="76"/>
      <c r="C424" s="50"/>
      <c r="D424" s="50"/>
      <c r="E424" s="50"/>
      <c r="F424" s="65"/>
      <c r="G424" s="50"/>
      <c r="H424" s="54"/>
      <c r="I424" s="55"/>
    </row>
    <row r="425" spans="1:9" s="4" customFormat="1">
      <c r="A425" s="64"/>
      <c r="B425" s="76"/>
      <c r="C425" s="50"/>
      <c r="D425" s="50"/>
      <c r="E425" s="50"/>
      <c r="F425" s="65"/>
      <c r="G425" s="50"/>
      <c r="H425" s="54"/>
      <c r="I425" s="36"/>
    </row>
    <row r="426" spans="1:9" s="4" customFormat="1">
      <c r="A426" s="64"/>
      <c r="B426" s="76"/>
      <c r="C426" s="50"/>
      <c r="D426" s="50"/>
      <c r="E426" s="50"/>
      <c r="F426" s="65"/>
      <c r="G426" s="50"/>
      <c r="H426" s="54"/>
      <c r="I426" s="55"/>
    </row>
    <row r="427" spans="1:9" s="4" customFormat="1">
      <c r="A427" s="64"/>
      <c r="B427" s="77"/>
      <c r="C427" s="50"/>
      <c r="D427" s="50"/>
      <c r="E427" s="50"/>
      <c r="F427" s="65"/>
      <c r="G427" s="50"/>
      <c r="H427" s="54"/>
      <c r="I427" s="55"/>
    </row>
    <row r="428" spans="1:9" s="4" customFormat="1">
      <c r="A428" s="64"/>
      <c r="B428" s="77"/>
      <c r="C428" s="50"/>
      <c r="D428" s="50"/>
      <c r="E428" s="50"/>
      <c r="F428" s="65"/>
      <c r="G428" s="50"/>
      <c r="H428" s="54"/>
      <c r="I428" s="55"/>
    </row>
    <row r="429" spans="1:9" s="4" customFormat="1">
      <c r="A429" s="64"/>
      <c r="B429" s="77"/>
      <c r="C429" s="50"/>
      <c r="D429" s="50"/>
      <c r="E429" s="50"/>
      <c r="F429" s="65"/>
      <c r="G429" s="50"/>
      <c r="H429" s="54"/>
      <c r="I429" s="55"/>
    </row>
    <row r="430" spans="1:9" s="4" customFormat="1">
      <c r="A430" s="64"/>
      <c r="B430" s="77"/>
      <c r="C430" s="50"/>
      <c r="D430" s="50"/>
      <c r="E430" s="50"/>
      <c r="F430" s="65"/>
      <c r="G430" s="50"/>
      <c r="H430" s="54"/>
      <c r="I430" s="55"/>
    </row>
    <row r="431" spans="1:9" s="4" customFormat="1">
      <c r="A431" s="64"/>
      <c r="B431" s="77"/>
      <c r="C431" s="50"/>
      <c r="D431" s="50"/>
      <c r="E431" s="50"/>
      <c r="F431" s="65"/>
      <c r="G431" s="50"/>
      <c r="H431" s="54"/>
      <c r="I431" s="55"/>
    </row>
    <row r="432" spans="1:9" s="4" customFormat="1">
      <c r="A432" s="64"/>
      <c r="B432" s="77"/>
      <c r="C432" s="50"/>
      <c r="D432" s="50"/>
      <c r="E432" s="50"/>
      <c r="F432" s="65"/>
      <c r="G432" s="50"/>
      <c r="H432" s="54"/>
      <c r="I432" s="55"/>
    </row>
    <row r="433" spans="1:9" s="4" customFormat="1">
      <c r="A433" s="64"/>
      <c r="B433" s="77"/>
      <c r="C433" s="50"/>
      <c r="D433" s="50"/>
      <c r="E433" s="50"/>
      <c r="F433" s="65"/>
      <c r="G433" s="50"/>
      <c r="H433" s="54"/>
      <c r="I433" s="55"/>
    </row>
    <row r="434" spans="1:9" s="4" customFormat="1">
      <c r="A434" s="64"/>
      <c r="B434" s="77"/>
      <c r="C434" s="50"/>
      <c r="D434" s="50"/>
      <c r="E434" s="50"/>
      <c r="F434" s="65"/>
      <c r="G434" s="50"/>
      <c r="H434" s="54"/>
      <c r="I434" s="55"/>
    </row>
    <row r="435" spans="1:9" s="4" customFormat="1">
      <c r="A435" s="64"/>
      <c r="B435" s="77"/>
      <c r="C435" s="50"/>
      <c r="D435" s="50"/>
      <c r="E435" s="50"/>
      <c r="F435" s="65"/>
      <c r="G435" s="50"/>
      <c r="H435" s="54"/>
      <c r="I435" s="55"/>
    </row>
    <row r="436" spans="1:9" s="4" customFormat="1">
      <c r="A436" s="64"/>
      <c r="B436" s="77"/>
      <c r="C436" s="50"/>
      <c r="D436" s="50"/>
      <c r="E436" s="50"/>
      <c r="F436" s="65"/>
      <c r="G436" s="50"/>
      <c r="H436" s="54"/>
      <c r="I436" s="55"/>
    </row>
    <row r="437" spans="1:9" s="4" customFormat="1">
      <c r="A437" s="64"/>
      <c r="B437" s="77"/>
      <c r="C437" s="50"/>
      <c r="D437" s="50"/>
      <c r="E437" s="50"/>
      <c r="F437" s="65"/>
      <c r="G437" s="50"/>
      <c r="H437" s="54"/>
      <c r="I437" s="55"/>
    </row>
    <row r="438" spans="1:9" s="4" customFormat="1">
      <c r="A438" s="64"/>
      <c r="B438" s="77"/>
      <c r="C438" s="50"/>
      <c r="D438" s="50"/>
      <c r="E438" s="50"/>
      <c r="F438" s="65"/>
      <c r="G438" s="50"/>
      <c r="H438" s="54"/>
      <c r="I438" s="55"/>
    </row>
    <row r="439" spans="1:9" s="4" customFormat="1">
      <c r="A439" s="64"/>
      <c r="B439" s="77"/>
      <c r="C439" s="50"/>
      <c r="D439" s="50"/>
      <c r="E439" s="50"/>
      <c r="F439" s="65"/>
      <c r="G439" s="50"/>
      <c r="H439" s="54"/>
      <c r="I439" s="55"/>
    </row>
    <row r="440" spans="1:9" s="4" customFormat="1">
      <c r="A440" s="64"/>
      <c r="B440" s="77"/>
      <c r="C440" s="50"/>
      <c r="D440" s="50"/>
      <c r="E440" s="50"/>
      <c r="F440" s="65"/>
      <c r="G440" s="50"/>
      <c r="H440" s="54"/>
      <c r="I440" s="55"/>
    </row>
    <row r="441" spans="1:9" s="4" customFormat="1">
      <c r="A441" s="64"/>
      <c r="B441" s="77"/>
      <c r="C441" s="50"/>
      <c r="D441" s="50"/>
      <c r="E441" s="50"/>
      <c r="F441" s="65"/>
      <c r="G441" s="50"/>
      <c r="H441" s="54"/>
      <c r="I441" s="55"/>
    </row>
    <row r="442" spans="1:9" s="4" customFormat="1">
      <c r="A442" s="64"/>
      <c r="B442" s="77"/>
      <c r="C442" s="50"/>
      <c r="D442" s="50"/>
      <c r="E442" s="50"/>
      <c r="F442" s="65"/>
      <c r="G442" s="50"/>
      <c r="H442" s="54"/>
      <c r="I442" s="55"/>
    </row>
    <row r="443" spans="1:9" s="4" customFormat="1">
      <c r="A443" s="64"/>
      <c r="B443" s="77"/>
      <c r="C443" s="50"/>
      <c r="D443" s="50"/>
      <c r="E443" s="50"/>
      <c r="F443" s="65"/>
      <c r="G443" s="50"/>
      <c r="H443" s="54"/>
      <c r="I443" s="55"/>
    </row>
    <row r="444" spans="1:9" s="4" customFormat="1">
      <c r="A444" s="64"/>
      <c r="B444" s="77"/>
      <c r="C444" s="50"/>
      <c r="D444" s="50"/>
      <c r="E444" s="50"/>
      <c r="F444" s="65"/>
      <c r="G444" s="50"/>
      <c r="H444" s="54"/>
      <c r="I444" s="55"/>
    </row>
    <row r="445" spans="1:9" s="4" customFormat="1">
      <c r="A445" s="64"/>
      <c r="B445" s="77"/>
      <c r="C445" s="50"/>
      <c r="D445" s="50"/>
      <c r="E445" s="50"/>
      <c r="F445" s="65"/>
      <c r="G445" s="50"/>
      <c r="H445" s="54"/>
      <c r="I445" s="55"/>
    </row>
    <row r="446" spans="1:9" s="4" customFormat="1">
      <c r="A446" s="64"/>
      <c r="B446" s="77"/>
      <c r="C446" s="50"/>
      <c r="D446" s="50"/>
      <c r="E446" s="50"/>
      <c r="F446" s="65"/>
      <c r="G446" s="50"/>
      <c r="H446" s="54"/>
      <c r="I446" s="55"/>
    </row>
    <row r="447" spans="1:9" s="4" customFormat="1">
      <c r="A447" s="64"/>
      <c r="B447" s="77"/>
      <c r="C447" s="50"/>
      <c r="D447" s="50"/>
      <c r="E447" s="50"/>
      <c r="F447" s="65"/>
      <c r="G447" s="50"/>
      <c r="H447" s="54"/>
      <c r="I447" s="55"/>
    </row>
    <row r="448" spans="1:9" s="4" customFormat="1">
      <c r="A448" s="82"/>
      <c r="B448" s="56"/>
      <c r="C448" s="56"/>
      <c r="D448" s="56"/>
      <c r="E448" s="56"/>
      <c r="F448" s="56"/>
      <c r="G448" s="56"/>
      <c r="H448" s="56"/>
      <c r="I448" s="56"/>
    </row>
    <row r="449" spans="1:9" s="4" customFormat="1">
      <c r="A449" s="36"/>
      <c r="B449" s="50"/>
      <c r="C449" s="50"/>
      <c r="D449" s="50"/>
      <c r="E449" s="50"/>
      <c r="F449" s="36"/>
      <c r="G449" s="36"/>
      <c r="H449" s="36"/>
      <c r="I449" s="36"/>
    </row>
    <row r="450" spans="1:9" s="4" customFormat="1">
      <c r="A450" s="36"/>
      <c r="B450" s="36"/>
      <c r="C450" s="78"/>
      <c r="D450" s="78"/>
      <c r="E450" s="79"/>
      <c r="F450" s="80"/>
      <c r="G450" s="78"/>
      <c r="H450" s="36"/>
      <c r="I450" s="81"/>
    </row>
    <row r="451" spans="1:9" s="4" customFormat="1" ht="12"/>
    <row r="452" spans="1:9" s="4" customFormat="1" ht="20.25">
      <c r="A452" s="66"/>
      <c r="B452" s="67"/>
      <c r="G452" s="57"/>
      <c r="H452" s="57"/>
      <c r="I452" s="57"/>
    </row>
    <row r="453" spans="1:9" s="4" customFormat="1" ht="20.25">
      <c r="A453" s="57"/>
      <c r="B453" s="57"/>
      <c r="C453" s="57"/>
      <c r="D453" s="57"/>
      <c r="E453" s="57"/>
      <c r="F453" s="57"/>
      <c r="G453" s="57"/>
      <c r="H453" s="57"/>
      <c r="I453" s="57"/>
    </row>
    <row r="454" spans="1:9" s="4" customFormat="1" ht="20.25">
      <c r="A454" s="618"/>
      <c r="B454" s="668"/>
      <c r="C454" s="668"/>
      <c r="D454" s="381"/>
      <c r="E454" s="57"/>
      <c r="F454" s="57"/>
      <c r="G454" s="57"/>
      <c r="H454" s="57"/>
      <c r="I454" s="57"/>
    </row>
    <row r="455" spans="1:9" s="4" customFormat="1">
      <c r="A455" s="68"/>
      <c r="B455" s="68"/>
      <c r="C455" s="68"/>
      <c r="D455" s="68"/>
      <c r="E455" s="68"/>
      <c r="F455" s="68"/>
      <c r="G455" s="69"/>
      <c r="H455" s="69"/>
      <c r="I455" s="615"/>
    </row>
    <row r="456" spans="1:9" s="4" customFormat="1">
      <c r="A456" s="68"/>
      <c r="B456" s="68"/>
      <c r="C456" s="68"/>
      <c r="D456" s="68"/>
      <c r="E456" s="68"/>
      <c r="F456" s="68"/>
      <c r="G456" s="69"/>
      <c r="H456" s="69"/>
      <c r="I456" s="615"/>
    </row>
    <row r="457" spans="1:9" s="4" customFormat="1">
      <c r="A457" s="36"/>
      <c r="B457" s="36"/>
      <c r="C457" s="36"/>
      <c r="D457" s="36"/>
      <c r="E457" s="36"/>
      <c r="F457" s="36"/>
      <c r="G457" s="36"/>
      <c r="H457" s="50"/>
      <c r="I457" s="36"/>
    </row>
    <row r="458" spans="1:9" s="4" customFormat="1">
      <c r="A458" s="36"/>
      <c r="B458" s="36"/>
      <c r="C458" s="36"/>
      <c r="D458" s="36"/>
      <c r="E458" s="36"/>
      <c r="F458" s="36"/>
      <c r="G458" s="58"/>
      <c r="H458" s="70"/>
      <c r="I458" s="50"/>
    </row>
    <row r="459" spans="1:9" s="4" customFormat="1">
      <c r="A459" s="36"/>
      <c r="B459" s="36"/>
      <c r="C459" s="36"/>
      <c r="D459" s="36"/>
      <c r="E459" s="36"/>
      <c r="F459" s="36"/>
      <c r="G459" s="59"/>
      <c r="H459" s="70"/>
      <c r="I459" s="50"/>
    </row>
    <row r="460" spans="1:9" s="4" customFormat="1">
      <c r="A460" s="36"/>
      <c r="B460" s="36"/>
      <c r="C460" s="36"/>
      <c r="D460" s="36"/>
      <c r="E460" s="36"/>
      <c r="F460" s="36"/>
      <c r="G460" s="60"/>
      <c r="H460" s="70"/>
      <c r="I460" s="50"/>
    </row>
    <row r="461" spans="1:9" s="4" customFormat="1">
      <c r="A461" s="36"/>
      <c r="B461" s="36"/>
      <c r="C461" s="36"/>
      <c r="D461" s="36"/>
      <c r="E461" s="36"/>
      <c r="F461" s="36"/>
      <c r="G461" s="60"/>
      <c r="H461" s="70"/>
      <c r="I461" s="50"/>
    </row>
    <row r="462" spans="1:9" s="4" customFormat="1">
      <c r="A462" s="36"/>
      <c r="B462" s="36"/>
      <c r="C462" s="36"/>
      <c r="D462" s="36"/>
      <c r="E462" s="36"/>
      <c r="F462" s="36"/>
      <c r="G462" s="60"/>
      <c r="H462" s="70"/>
      <c r="I462" s="50"/>
    </row>
    <row r="463" spans="1:9" s="4" customFormat="1">
      <c r="A463" s="36"/>
      <c r="B463" s="36"/>
      <c r="C463" s="36"/>
      <c r="D463" s="36"/>
      <c r="E463" s="36"/>
      <c r="F463" s="36"/>
      <c r="G463" s="60"/>
      <c r="H463" s="70"/>
      <c r="I463" s="50"/>
    </row>
    <row r="464" spans="1:9" s="4" customFormat="1">
      <c r="A464" s="36"/>
      <c r="B464" s="36"/>
      <c r="C464" s="36"/>
      <c r="D464" s="36"/>
      <c r="E464" s="36"/>
      <c r="F464" s="36"/>
      <c r="G464" s="36"/>
      <c r="H464" s="36"/>
      <c r="I464" s="36"/>
    </row>
    <row r="465" spans="1:9" s="4" customFormat="1">
      <c r="A465" s="68"/>
      <c r="B465" s="68"/>
      <c r="C465" s="68"/>
      <c r="D465" s="68"/>
      <c r="E465" s="68"/>
      <c r="F465" s="68"/>
      <c r="G465" s="622"/>
      <c r="H465" s="71"/>
      <c r="I465" s="71"/>
    </row>
    <row r="466" spans="1:9" s="4" customFormat="1">
      <c r="A466" s="68"/>
      <c r="B466" s="68"/>
      <c r="C466" s="68"/>
      <c r="D466" s="68"/>
      <c r="E466" s="68"/>
      <c r="F466" s="68"/>
      <c r="G466" s="622"/>
      <c r="H466" s="71"/>
      <c r="I466" s="71"/>
    </row>
    <row r="467" spans="1:9" s="4" customFormat="1">
      <c r="A467" s="61"/>
      <c r="B467" s="36"/>
      <c r="C467" s="62"/>
      <c r="D467" s="62"/>
      <c r="E467" s="62"/>
      <c r="F467" s="36"/>
      <c r="G467" s="62"/>
      <c r="H467" s="72"/>
      <c r="I467" s="50"/>
    </row>
    <row r="468" spans="1:9" s="4" customFormat="1">
      <c r="A468" s="36"/>
      <c r="B468" s="36"/>
      <c r="C468" s="36"/>
      <c r="D468" s="36"/>
      <c r="E468" s="36"/>
      <c r="F468" s="36"/>
      <c r="G468" s="50"/>
      <c r="H468" s="50"/>
      <c r="I468" s="70"/>
    </row>
    <row r="469" spans="1:9" s="4" customFormat="1">
      <c r="A469" s="36"/>
      <c r="B469" s="36"/>
      <c r="C469" s="36"/>
      <c r="D469" s="36"/>
      <c r="E469" s="36"/>
      <c r="F469" s="36"/>
      <c r="G469" s="70"/>
      <c r="H469" s="50"/>
      <c r="I469" s="50"/>
    </row>
    <row r="470" spans="1:9" s="4" customFormat="1">
      <c r="A470" s="36"/>
      <c r="B470" s="36"/>
      <c r="C470" s="36"/>
      <c r="D470" s="36"/>
      <c r="E470" s="36"/>
      <c r="F470" s="36"/>
      <c r="G470" s="47"/>
      <c r="H470" s="50"/>
      <c r="I470" s="50"/>
    </row>
    <row r="471" spans="1:9" s="4" customFormat="1">
      <c r="A471" s="36"/>
      <c r="B471" s="36"/>
      <c r="C471" s="36"/>
      <c r="D471" s="36"/>
      <c r="E471" s="36"/>
      <c r="F471" s="36"/>
      <c r="G471" s="73"/>
      <c r="H471" s="50"/>
      <c r="I471" s="50"/>
    </row>
    <row r="472" spans="1:9" s="4" customFormat="1">
      <c r="A472" s="36"/>
      <c r="B472" s="36"/>
      <c r="C472" s="36"/>
      <c r="D472" s="36"/>
      <c r="E472" s="36"/>
      <c r="F472" s="50"/>
      <c r="G472" s="36"/>
      <c r="H472" s="36"/>
      <c r="I472" s="36"/>
    </row>
    <row r="473" spans="1:9" s="4" customFormat="1">
      <c r="A473" s="63"/>
      <c r="B473" s="36"/>
      <c r="C473" s="36"/>
      <c r="D473" s="36"/>
      <c r="E473" s="36"/>
      <c r="F473" s="50"/>
      <c r="G473" s="36"/>
      <c r="H473" s="36"/>
      <c r="I473" s="36"/>
    </row>
    <row r="474" spans="1:9" s="4" customFormat="1">
      <c r="A474" s="36"/>
      <c r="B474" s="74"/>
      <c r="C474" s="36"/>
      <c r="D474" s="36"/>
      <c r="E474" s="36"/>
      <c r="F474" s="36"/>
      <c r="G474" s="36"/>
      <c r="H474" s="36"/>
      <c r="I474" s="36"/>
    </row>
    <row r="475" spans="1:9" s="4" customFormat="1">
      <c r="A475" s="619"/>
      <c r="B475" s="380"/>
      <c r="C475" s="380"/>
      <c r="D475" s="380"/>
      <c r="E475" s="619"/>
      <c r="F475" s="619"/>
      <c r="G475" s="619"/>
      <c r="H475" s="619"/>
      <c r="I475" s="619"/>
    </row>
    <row r="476" spans="1:9" s="4" customFormat="1">
      <c r="A476" s="619"/>
      <c r="B476" s="380"/>
      <c r="C476" s="380"/>
      <c r="D476" s="380"/>
      <c r="E476" s="380"/>
      <c r="F476" s="380"/>
      <c r="G476" s="620"/>
      <c r="H476" s="620"/>
      <c r="I476" s="620"/>
    </row>
    <row r="477" spans="1:9" s="4" customFormat="1">
      <c r="A477" s="64"/>
      <c r="B477" s="76"/>
      <c r="C477" s="50"/>
      <c r="D477" s="50"/>
      <c r="E477" s="50"/>
      <c r="F477" s="65"/>
      <c r="G477" s="50"/>
      <c r="H477" s="50"/>
      <c r="I477" s="55"/>
    </row>
    <row r="478" spans="1:9" s="4" customFormat="1">
      <c r="A478" s="64"/>
      <c r="B478" s="76"/>
      <c r="C478" s="50"/>
      <c r="D478" s="50"/>
      <c r="E478" s="50"/>
      <c r="F478" s="65"/>
      <c r="G478" s="50"/>
      <c r="H478" s="54"/>
      <c r="I478" s="55"/>
    </row>
    <row r="479" spans="1:9" s="4" customFormat="1">
      <c r="A479" s="64"/>
      <c r="B479" s="76"/>
      <c r="C479" s="50"/>
      <c r="D479" s="50"/>
      <c r="E479" s="50"/>
      <c r="F479" s="65"/>
      <c r="G479" s="50"/>
      <c r="H479" s="54"/>
      <c r="I479" s="36"/>
    </row>
    <row r="480" spans="1:9" s="4" customFormat="1">
      <c r="A480" s="64"/>
      <c r="B480" s="76"/>
      <c r="C480" s="50"/>
      <c r="D480" s="50"/>
      <c r="E480" s="50"/>
      <c r="F480" s="65"/>
      <c r="G480" s="50"/>
      <c r="H480" s="54"/>
      <c r="I480" s="55"/>
    </row>
    <row r="481" spans="1:9" s="4" customFormat="1">
      <c r="A481" s="64"/>
      <c r="B481" s="77"/>
      <c r="C481" s="50"/>
      <c r="D481" s="50"/>
      <c r="E481" s="50"/>
      <c r="F481" s="65"/>
      <c r="G481" s="50"/>
      <c r="H481" s="54"/>
      <c r="I481" s="55"/>
    </row>
    <row r="482" spans="1:9" s="4" customFormat="1">
      <c r="A482" s="64"/>
      <c r="B482" s="77"/>
      <c r="C482" s="50"/>
      <c r="D482" s="50"/>
      <c r="E482" s="50"/>
      <c r="F482" s="65"/>
      <c r="G482" s="50"/>
      <c r="H482" s="54"/>
      <c r="I482" s="55"/>
    </row>
    <row r="483" spans="1:9" s="4" customFormat="1">
      <c r="A483" s="64"/>
      <c r="B483" s="77"/>
      <c r="C483" s="50"/>
      <c r="D483" s="50"/>
      <c r="E483" s="50"/>
      <c r="F483" s="65"/>
      <c r="G483" s="50"/>
      <c r="H483" s="54"/>
      <c r="I483" s="55"/>
    </row>
    <row r="484" spans="1:9" s="4" customFormat="1">
      <c r="A484" s="64"/>
      <c r="B484" s="77"/>
      <c r="C484" s="50"/>
      <c r="D484" s="50"/>
      <c r="E484" s="50"/>
      <c r="F484" s="65"/>
      <c r="G484" s="50"/>
      <c r="H484" s="54"/>
      <c r="I484" s="55"/>
    </row>
    <row r="485" spans="1:9" s="4" customFormat="1">
      <c r="A485" s="64"/>
      <c r="B485" s="77"/>
      <c r="C485" s="50"/>
      <c r="D485" s="50"/>
      <c r="E485" s="50"/>
      <c r="F485" s="65"/>
      <c r="G485" s="50"/>
      <c r="H485" s="54"/>
      <c r="I485" s="55"/>
    </row>
    <row r="486" spans="1:9" s="4" customFormat="1">
      <c r="A486" s="64"/>
      <c r="B486" s="77"/>
      <c r="C486" s="50"/>
      <c r="D486" s="50"/>
      <c r="E486" s="50"/>
      <c r="F486" s="65"/>
      <c r="G486" s="50"/>
      <c r="H486" s="54"/>
      <c r="I486" s="55"/>
    </row>
    <row r="487" spans="1:9" s="4" customFormat="1">
      <c r="A487" s="64"/>
      <c r="B487" s="77"/>
      <c r="C487" s="50"/>
      <c r="D487" s="50"/>
      <c r="E487" s="50"/>
      <c r="F487" s="65"/>
      <c r="G487" s="50"/>
      <c r="H487" s="54"/>
      <c r="I487" s="55"/>
    </row>
    <row r="488" spans="1:9" s="4" customFormat="1">
      <c r="A488" s="64"/>
      <c r="B488" s="77"/>
      <c r="C488" s="50"/>
      <c r="D488" s="50"/>
      <c r="E488" s="50"/>
      <c r="F488" s="65"/>
      <c r="G488" s="50"/>
      <c r="H488" s="54"/>
      <c r="I488" s="55"/>
    </row>
    <row r="489" spans="1:9" s="4" customFormat="1">
      <c r="A489" s="64"/>
      <c r="B489" s="77"/>
      <c r="C489" s="50"/>
      <c r="D489" s="50"/>
      <c r="E489" s="50"/>
      <c r="F489" s="65"/>
      <c r="G489" s="50"/>
      <c r="H489" s="54"/>
      <c r="I489" s="55"/>
    </row>
    <row r="490" spans="1:9" s="4" customFormat="1">
      <c r="A490" s="64"/>
      <c r="B490" s="77"/>
      <c r="C490" s="50"/>
      <c r="D490" s="50"/>
      <c r="E490" s="50"/>
      <c r="F490" s="65"/>
      <c r="G490" s="50"/>
      <c r="H490" s="54"/>
      <c r="I490" s="55"/>
    </row>
    <row r="491" spans="1:9" s="4" customFormat="1">
      <c r="A491" s="64"/>
      <c r="B491" s="77"/>
      <c r="C491" s="50"/>
      <c r="D491" s="50"/>
      <c r="E491" s="50"/>
      <c r="F491" s="65"/>
      <c r="G491" s="50"/>
      <c r="H491" s="54"/>
      <c r="I491" s="55"/>
    </row>
    <row r="492" spans="1:9" s="4" customFormat="1">
      <c r="A492" s="64"/>
      <c r="B492" s="77"/>
      <c r="C492" s="50"/>
      <c r="D492" s="50"/>
      <c r="E492" s="50"/>
      <c r="F492" s="65"/>
      <c r="G492" s="50"/>
      <c r="H492" s="54"/>
      <c r="I492" s="55"/>
    </row>
    <row r="493" spans="1:9" s="4" customFormat="1">
      <c r="A493" s="64"/>
      <c r="B493" s="77"/>
      <c r="C493" s="50"/>
      <c r="D493" s="50"/>
      <c r="E493" s="50"/>
      <c r="F493" s="65"/>
      <c r="G493" s="50"/>
      <c r="H493" s="54"/>
      <c r="I493" s="55"/>
    </row>
    <row r="494" spans="1:9" s="4" customFormat="1">
      <c r="A494" s="64"/>
      <c r="B494" s="77"/>
      <c r="C494" s="50"/>
      <c r="D494" s="50"/>
      <c r="E494" s="50"/>
      <c r="F494" s="65"/>
      <c r="G494" s="50"/>
      <c r="H494" s="54"/>
      <c r="I494" s="55"/>
    </row>
    <row r="495" spans="1:9" s="4" customFormat="1">
      <c r="A495" s="64"/>
      <c r="B495" s="77"/>
      <c r="C495" s="50"/>
      <c r="D495" s="50"/>
      <c r="E495" s="50"/>
      <c r="F495" s="65"/>
      <c r="G495" s="50"/>
      <c r="H495" s="54"/>
      <c r="I495" s="55"/>
    </row>
    <row r="496" spans="1:9" s="4" customFormat="1">
      <c r="A496" s="64"/>
      <c r="B496" s="77"/>
      <c r="C496" s="50"/>
      <c r="D496" s="50"/>
      <c r="E496" s="50"/>
      <c r="F496" s="65"/>
      <c r="G496" s="50"/>
      <c r="H496" s="54"/>
      <c r="I496" s="55"/>
    </row>
    <row r="497" spans="1:9" s="4" customFormat="1">
      <c r="A497" s="64"/>
      <c r="B497" s="77"/>
      <c r="C497" s="50"/>
      <c r="D497" s="50"/>
      <c r="E497" s="50"/>
      <c r="F497" s="65"/>
      <c r="G497" s="50"/>
      <c r="H497" s="54"/>
      <c r="I497" s="55"/>
    </row>
    <row r="498" spans="1:9" s="4" customFormat="1">
      <c r="A498" s="64"/>
      <c r="B498" s="77"/>
      <c r="C498" s="50"/>
      <c r="D498" s="50"/>
      <c r="E498" s="50"/>
      <c r="F498" s="65"/>
      <c r="G498" s="50"/>
      <c r="H498" s="54"/>
      <c r="I498" s="55"/>
    </row>
    <row r="499" spans="1:9" s="4" customFormat="1">
      <c r="A499" s="64"/>
      <c r="B499" s="77"/>
      <c r="C499" s="50"/>
      <c r="D499" s="50"/>
      <c r="E499" s="50"/>
      <c r="F499" s="65"/>
      <c r="G499" s="50"/>
      <c r="H499" s="54"/>
      <c r="I499" s="55"/>
    </row>
    <row r="500" spans="1:9" s="4" customFormat="1">
      <c r="A500" s="64"/>
      <c r="B500" s="77"/>
      <c r="C500" s="50"/>
      <c r="D500" s="50"/>
      <c r="E500" s="50"/>
      <c r="F500" s="65"/>
      <c r="G500" s="50"/>
      <c r="H500" s="54"/>
      <c r="I500" s="55"/>
    </row>
    <row r="501" spans="1:9" s="4" customFormat="1">
      <c r="A501" s="64"/>
      <c r="B501" s="77"/>
      <c r="C501" s="50"/>
      <c r="D501" s="50"/>
      <c r="E501" s="50"/>
      <c r="F501" s="65"/>
      <c r="G501" s="50"/>
      <c r="H501" s="54"/>
      <c r="I501" s="55"/>
    </row>
    <row r="502" spans="1:9" s="4" customFormat="1">
      <c r="A502" s="82"/>
      <c r="B502" s="56"/>
      <c r="C502" s="56"/>
      <c r="D502" s="56"/>
      <c r="E502" s="56"/>
      <c r="F502" s="56"/>
      <c r="G502" s="56"/>
      <c r="H502" s="56"/>
      <c r="I502" s="56"/>
    </row>
    <row r="503" spans="1:9" s="4" customFormat="1">
      <c r="A503" s="36"/>
      <c r="B503" s="50"/>
      <c r="C503" s="50"/>
      <c r="D503" s="50"/>
      <c r="E503" s="50"/>
      <c r="F503" s="36"/>
      <c r="G503" s="36"/>
      <c r="H503" s="36"/>
      <c r="I503" s="36"/>
    </row>
    <row r="504" spans="1:9" s="4" customFormat="1">
      <c r="A504" s="36"/>
      <c r="B504" s="36"/>
      <c r="C504" s="78"/>
      <c r="D504" s="78"/>
      <c r="E504" s="79"/>
      <c r="F504" s="80"/>
      <c r="G504" s="78"/>
      <c r="H504" s="36"/>
      <c r="I504" s="81"/>
    </row>
    <row r="505" spans="1:9" s="4" customFormat="1" ht="12"/>
    <row r="506" spans="1:9" s="4" customFormat="1" ht="20.25">
      <c r="A506" s="66"/>
      <c r="B506" s="67"/>
      <c r="G506" s="57"/>
      <c r="H506" s="57"/>
      <c r="I506" s="57"/>
    </row>
    <row r="507" spans="1:9" s="4" customFormat="1" ht="20.25">
      <c r="A507" s="57"/>
      <c r="B507" s="57"/>
      <c r="C507" s="57"/>
      <c r="D507" s="57"/>
      <c r="E507" s="57"/>
      <c r="F507" s="57"/>
      <c r="G507" s="57"/>
      <c r="H507" s="57"/>
      <c r="I507" s="57"/>
    </row>
    <row r="508" spans="1:9" s="4" customFormat="1" ht="20.25">
      <c r="A508" s="618"/>
      <c r="B508" s="668"/>
      <c r="C508" s="668"/>
      <c r="D508" s="381"/>
      <c r="E508" s="57"/>
      <c r="F508" s="57"/>
      <c r="G508" s="57"/>
      <c r="H508" s="57"/>
      <c r="I508" s="57"/>
    </row>
    <row r="509" spans="1:9" s="4" customFormat="1">
      <c r="A509" s="68"/>
      <c r="B509" s="68"/>
      <c r="C509" s="68"/>
      <c r="D509" s="68"/>
      <c r="E509" s="68"/>
      <c r="F509" s="68"/>
      <c r="G509" s="69"/>
      <c r="H509" s="69"/>
      <c r="I509" s="615"/>
    </row>
    <row r="510" spans="1:9" s="4" customFormat="1">
      <c r="A510" s="68"/>
      <c r="B510" s="68"/>
      <c r="C510" s="68"/>
      <c r="D510" s="68"/>
      <c r="E510" s="68"/>
      <c r="F510" s="68"/>
      <c r="G510" s="69"/>
      <c r="H510" s="69"/>
      <c r="I510" s="615"/>
    </row>
    <row r="511" spans="1:9" s="4" customFormat="1">
      <c r="A511" s="36"/>
      <c r="B511" s="36"/>
      <c r="C511" s="36"/>
      <c r="D511" s="36"/>
      <c r="E511" s="36"/>
      <c r="F511" s="36"/>
      <c r="G511" s="36"/>
      <c r="H511" s="50"/>
      <c r="I511" s="36"/>
    </row>
    <row r="512" spans="1:9" s="4" customFormat="1">
      <c r="A512" s="36"/>
      <c r="B512" s="36"/>
      <c r="C512" s="36"/>
      <c r="D512" s="36"/>
      <c r="E512" s="36"/>
      <c r="F512" s="36"/>
      <c r="G512" s="58"/>
      <c r="H512" s="70"/>
      <c r="I512" s="50"/>
    </row>
    <row r="513" spans="1:9" s="4" customFormat="1">
      <c r="A513" s="36"/>
      <c r="B513" s="36"/>
      <c r="C513" s="36"/>
      <c r="D513" s="36"/>
      <c r="E513" s="36"/>
      <c r="F513" s="36"/>
      <c r="G513" s="59"/>
      <c r="H513" s="70"/>
      <c r="I513" s="50"/>
    </row>
    <row r="514" spans="1:9" s="4" customFormat="1">
      <c r="A514" s="36"/>
      <c r="B514" s="36"/>
      <c r="C514" s="36"/>
      <c r="D514" s="36"/>
      <c r="E514" s="36"/>
      <c r="F514" s="36"/>
      <c r="G514" s="60"/>
      <c r="H514" s="70"/>
      <c r="I514" s="50"/>
    </row>
    <row r="515" spans="1:9" s="4" customFormat="1">
      <c r="A515" s="36"/>
      <c r="B515" s="36"/>
      <c r="C515" s="36"/>
      <c r="D515" s="36"/>
      <c r="E515" s="36"/>
      <c r="F515" s="36"/>
      <c r="G515" s="60"/>
      <c r="H515" s="70"/>
      <c r="I515" s="50"/>
    </row>
    <row r="516" spans="1:9" s="4" customFormat="1">
      <c r="A516" s="36"/>
      <c r="B516" s="36"/>
      <c r="C516" s="36"/>
      <c r="D516" s="36"/>
      <c r="E516" s="36"/>
      <c r="F516" s="36"/>
      <c r="G516" s="60"/>
      <c r="H516" s="70"/>
      <c r="I516" s="50"/>
    </row>
    <row r="517" spans="1:9" s="4" customFormat="1">
      <c r="A517" s="36"/>
      <c r="B517" s="36"/>
      <c r="C517" s="36"/>
      <c r="D517" s="36"/>
      <c r="E517" s="36"/>
      <c r="F517" s="36"/>
      <c r="G517" s="60"/>
      <c r="H517" s="70"/>
      <c r="I517" s="50"/>
    </row>
    <row r="518" spans="1:9" s="4" customFormat="1">
      <c r="A518" s="36"/>
      <c r="B518" s="36"/>
      <c r="C518" s="36"/>
      <c r="D518" s="36"/>
      <c r="E518" s="36"/>
      <c r="F518" s="36"/>
      <c r="G518" s="36"/>
      <c r="H518" s="36"/>
      <c r="I518" s="36"/>
    </row>
    <row r="519" spans="1:9" s="4" customFormat="1">
      <c r="A519" s="68"/>
      <c r="B519" s="68"/>
      <c r="C519" s="68"/>
      <c r="D519" s="68"/>
      <c r="E519" s="68"/>
      <c r="F519" s="68"/>
      <c r="G519" s="622"/>
      <c r="H519" s="71"/>
      <c r="I519" s="71"/>
    </row>
    <row r="520" spans="1:9" s="4" customFormat="1">
      <c r="A520" s="68"/>
      <c r="B520" s="68"/>
      <c r="C520" s="68"/>
      <c r="D520" s="68"/>
      <c r="E520" s="68"/>
      <c r="F520" s="68"/>
      <c r="G520" s="622"/>
      <c r="H520" s="71"/>
      <c r="I520" s="71"/>
    </row>
    <row r="521" spans="1:9" s="4" customFormat="1">
      <c r="A521" s="61"/>
      <c r="B521" s="36"/>
      <c r="C521" s="62"/>
      <c r="D521" s="62"/>
      <c r="E521" s="62"/>
      <c r="F521" s="36"/>
      <c r="G521" s="62"/>
      <c r="H521" s="72"/>
      <c r="I521" s="50"/>
    </row>
    <row r="522" spans="1:9" s="4" customFormat="1">
      <c r="A522" s="36"/>
      <c r="B522" s="36"/>
      <c r="C522" s="36"/>
      <c r="D522" s="36"/>
      <c r="E522" s="36"/>
      <c r="F522" s="36"/>
      <c r="G522" s="50"/>
      <c r="H522" s="50"/>
      <c r="I522" s="70"/>
    </row>
    <row r="523" spans="1:9" s="4" customFormat="1">
      <c r="A523" s="36"/>
      <c r="B523" s="36"/>
      <c r="C523" s="36"/>
      <c r="D523" s="36"/>
      <c r="E523" s="36"/>
      <c r="F523" s="36"/>
      <c r="G523" s="70"/>
      <c r="H523" s="50"/>
      <c r="I523" s="50"/>
    </row>
    <row r="524" spans="1:9" s="4" customFormat="1">
      <c r="A524" s="36"/>
      <c r="B524" s="36"/>
      <c r="C524" s="36"/>
      <c r="D524" s="36"/>
      <c r="E524" s="36"/>
      <c r="F524" s="36"/>
      <c r="G524" s="47"/>
      <c r="H524" s="50"/>
      <c r="I524" s="50"/>
    </row>
    <row r="525" spans="1:9" s="4" customFormat="1">
      <c r="A525" s="36"/>
      <c r="B525" s="36"/>
      <c r="C525" s="36"/>
      <c r="D525" s="36"/>
      <c r="E525" s="36"/>
      <c r="F525" s="36"/>
      <c r="G525" s="73"/>
      <c r="H525" s="50"/>
      <c r="I525" s="50"/>
    </row>
    <row r="526" spans="1:9" s="4" customFormat="1">
      <c r="A526" s="36"/>
      <c r="B526" s="36"/>
      <c r="C526" s="36"/>
      <c r="D526" s="36"/>
      <c r="E526" s="36"/>
      <c r="F526" s="50"/>
      <c r="G526" s="36"/>
      <c r="H526" s="36"/>
      <c r="I526" s="36"/>
    </row>
    <row r="527" spans="1:9" s="4" customFormat="1">
      <c r="A527" s="63"/>
      <c r="B527" s="36"/>
      <c r="C527" s="36"/>
      <c r="D527" s="36"/>
      <c r="E527" s="36"/>
      <c r="F527" s="50"/>
      <c r="G527" s="36"/>
      <c r="H527" s="36"/>
      <c r="I527" s="36"/>
    </row>
    <row r="528" spans="1:9" s="4" customFormat="1">
      <c r="A528" s="36"/>
      <c r="B528" s="74"/>
      <c r="C528" s="36"/>
      <c r="D528" s="36"/>
      <c r="E528" s="36"/>
      <c r="F528" s="36"/>
      <c r="G528" s="36"/>
      <c r="H528" s="36"/>
      <c r="I528" s="36"/>
    </row>
    <row r="529" spans="1:9" s="4" customFormat="1">
      <c r="A529" s="619"/>
      <c r="B529" s="380"/>
      <c r="C529" s="380"/>
      <c r="D529" s="380"/>
      <c r="E529" s="619"/>
      <c r="F529" s="619"/>
      <c r="G529" s="619"/>
      <c r="H529" s="619"/>
      <c r="I529" s="619"/>
    </row>
    <row r="530" spans="1:9" s="4" customFormat="1">
      <c r="A530" s="619"/>
      <c r="B530" s="380"/>
      <c r="C530" s="380"/>
      <c r="D530" s="380"/>
      <c r="E530" s="380"/>
      <c r="F530" s="380"/>
      <c r="G530" s="620"/>
      <c r="H530" s="620"/>
      <c r="I530" s="620"/>
    </row>
    <row r="531" spans="1:9" s="4" customFormat="1">
      <c r="A531" s="64"/>
      <c r="B531" s="76"/>
      <c r="C531" s="50"/>
      <c r="D531" s="50"/>
      <c r="E531" s="50"/>
      <c r="F531" s="65"/>
      <c r="G531" s="50"/>
      <c r="H531" s="50"/>
      <c r="I531" s="55"/>
    </row>
    <row r="532" spans="1:9" s="4" customFormat="1">
      <c r="A532" s="64"/>
      <c r="B532" s="76"/>
      <c r="C532" s="50"/>
      <c r="D532" s="50"/>
      <c r="E532" s="50"/>
      <c r="F532" s="65"/>
      <c r="G532" s="50"/>
      <c r="H532" s="54"/>
      <c r="I532" s="55"/>
    </row>
    <row r="533" spans="1:9" s="4" customFormat="1">
      <c r="A533" s="64"/>
      <c r="B533" s="76"/>
      <c r="C533" s="50"/>
      <c r="D533" s="50"/>
      <c r="E533" s="50"/>
      <c r="F533" s="65"/>
      <c r="G533" s="50"/>
      <c r="H533" s="54"/>
      <c r="I533" s="36"/>
    </row>
    <row r="534" spans="1:9" s="4" customFormat="1">
      <c r="A534" s="64"/>
      <c r="B534" s="76"/>
      <c r="C534" s="50"/>
      <c r="D534" s="50"/>
      <c r="E534" s="50"/>
      <c r="F534" s="65"/>
      <c r="G534" s="50"/>
      <c r="H534" s="54"/>
      <c r="I534" s="55"/>
    </row>
    <row r="535" spans="1:9" s="4" customFormat="1">
      <c r="A535" s="64"/>
      <c r="B535" s="77"/>
      <c r="C535" s="50"/>
      <c r="D535" s="50"/>
      <c r="E535" s="50"/>
      <c r="F535" s="65"/>
      <c r="G535" s="50"/>
      <c r="H535" s="54"/>
      <c r="I535" s="55"/>
    </row>
    <row r="536" spans="1:9" s="4" customFormat="1">
      <c r="A536" s="64"/>
      <c r="B536" s="77"/>
      <c r="C536" s="50"/>
      <c r="D536" s="50"/>
      <c r="E536" s="50"/>
      <c r="F536" s="65"/>
      <c r="G536" s="50"/>
      <c r="H536" s="54"/>
      <c r="I536" s="55"/>
    </row>
    <row r="537" spans="1:9" s="4" customFormat="1">
      <c r="A537" s="64"/>
      <c r="B537" s="77"/>
      <c r="C537" s="50"/>
      <c r="D537" s="50"/>
      <c r="E537" s="50"/>
      <c r="F537" s="65"/>
      <c r="G537" s="50"/>
      <c r="H537" s="54"/>
      <c r="I537" s="55"/>
    </row>
    <row r="538" spans="1:9" s="4" customFormat="1">
      <c r="A538" s="64"/>
      <c r="B538" s="77"/>
      <c r="C538" s="50"/>
      <c r="D538" s="50"/>
      <c r="E538" s="50"/>
      <c r="F538" s="65"/>
      <c r="G538" s="50"/>
      <c r="H538" s="54"/>
      <c r="I538" s="55"/>
    </row>
    <row r="539" spans="1:9" s="4" customFormat="1">
      <c r="A539" s="64"/>
      <c r="B539" s="77"/>
      <c r="C539" s="50"/>
      <c r="D539" s="50"/>
      <c r="E539" s="50"/>
      <c r="F539" s="65"/>
      <c r="G539" s="50"/>
      <c r="H539" s="54"/>
      <c r="I539" s="55"/>
    </row>
    <row r="540" spans="1:9" s="4" customFormat="1">
      <c r="A540" s="64"/>
      <c r="B540" s="77"/>
      <c r="C540" s="50"/>
      <c r="D540" s="50"/>
      <c r="E540" s="50"/>
      <c r="F540" s="65"/>
      <c r="G540" s="50"/>
      <c r="H540" s="54"/>
      <c r="I540" s="55"/>
    </row>
    <row r="541" spans="1:9" s="4" customFormat="1">
      <c r="A541" s="64"/>
      <c r="B541" s="77"/>
      <c r="C541" s="50"/>
      <c r="D541" s="50"/>
      <c r="E541" s="50"/>
      <c r="F541" s="65"/>
      <c r="G541" s="50"/>
      <c r="H541" s="54"/>
      <c r="I541" s="55"/>
    </row>
    <row r="542" spans="1:9" s="4" customFormat="1">
      <c r="A542" s="64"/>
      <c r="B542" s="77"/>
      <c r="C542" s="50"/>
      <c r="D542" s="50"/>
      <c r="E542" s="50"/>
      <c r="F542" s="65"/>
      <c r="G542" s="50"/>
      <c r="H542" s="54"/>
      <c r="I542" s="55"/>
    </row>
    <row r="543" spans="1:9" s="4" customFormat="1">
      <c r="A543" s="64"/>
      <c r="B543" s="77"/>
      <c r="C543" s="50"/>
      <c r="D543" s="50"/>
      <c r="E543" s="50"/>
      <c r="F543" s="65"/>
      <c r="G543" s="50"/>
      <c r="H543" s="54"/>
      <c r="I543" s="55"/>
    </row>
    <row r="544" spans="1:9" s="4" customFormat="1">
      <c r="A544" s="64"/>
      <c r="B544" s="77"/>
      <c r="C544" s="50"/>
      <c r="D544" s="50"/>
      <c r="E544" s="50"/>
      <c r="F544" s="65"/>
      <c r="G544" s="50"/>
      <c r="H544" s="54"/>
      <c r="I544" s="55"/>
    </row>
    <row r="545" spans="1:9" s="4" customFormat="1">
      <c r="A545" s="64"/>
      <c r="B545" s="77"/>
      <c r="C545" s="50"/>
      <c r="D545" s="50"/>
      <c r="E545" s="50"/>
      <c r="F545" s="65"/>
      <c r="G545" s="50"/>
      <c r="H545" s="54"/>
      <c r="I545" s="55"/>
    </row>
    <row r="546" spans="1:9" s="4" customFormat="1">
      <c r="A546" s="64"/>
      <c r="B546" s="77"/>
      <c r="C546" s="50"/>
      <c r="D546" s="50"/>
      <c r="E546" s="50"/>
      <c r="F546" s="65"/>
      <c r="G546" s="50"/>
      <c r="H546" s="54"/>
      <c r="I546" s="55"/>
    </row>
    <row r="547" spans="1:9" s="4" customFormat="1">
      <c r="A547" s="64"/>
      <c r="B547" s="77"/>
      <c r="C547" s="50"/>
      <c r="D547" s="50"/>
      <c r="E547" s="50"/>
      <c r="F547" s="65"/>
      <c r="G547" s="50"/>
      <c r="H547" s="54"/>
      <c r="I547" s="55"/>
    </row>
    <row r="548" spans="1:9" s="4" customFormat="1">
      <c r="A548" s="64"/>
      <c r="B548" s="77"/>
      <c r="C548" s="50"/>
      <c r="D548" s="50"/>
      <c r="E548" s="50"/>
      <c r="F548" s="65"/>
      <c r="G548" s="50"/>
      <c r="H548" s="54"/>
      <c r="I548" s="55"/>
    </row>
    <row r="549" spans="1:9" s="4" customFormat="1">
      <c r="A549" s="64"/>
      <c r="B549" s="77"/>
      <c r="C549" s="50"/>
      <c r="D549" s="50"/>
      <c r="E549" s="50"/>
      <c r="F549" s="65"/>
      <c r="G549" s="50"/>
      <c r="H549" s="54"/>
      <c r="I549" s="55"/>
    </row>
    <row r="550" spans="1:9" s="4" customFormat="1">
      <c r="A550" s="64"/>
      <c r="B550" s="77"/>
      <c r="C550" s="50"/>
      <c r="D550" s="50"/>
      <c r="E550" s="50"/>
      <c r="F550" s="65"/>
      <c r="G550" s="50"/>
      <c r="H550" s="54"/>
      <c r="I550" s="55"/>
    </row>
    <row r="551" spans="1:9" s="4" customFormat="1">
      <c r="A551" s="64"/>
      <c r="B551" s="77"/>
      <c r="C551" s="50"/>
      <c r="D551" s="50"/>
      <c r="E551" s="50"/>
      <c r="F551" s="65"/>
      <c r="G551" s="50"/>
      <c r="H551" s="54"/>
      <c r="I551" s="55"/>
    </row>
    <row r="552" spans="1:9" s="4" customFormat="1">
      <c r="A552" s="64"/>
      <c r="B552" s="77"/>
      <c r="C552" s="50"/>
      <c r="D552" s="50"/>
      <c r="E552" s="50"/>
      <c r="F552" s="65"/>
      <c r="G552" s="50"/>
      <c r="H552" s="54"/>
      <c r="I552" s="55"/>
    </row>
    <row r="553" spans="1:9" s="4" customFormat="1">
      <c r="A553" s="64"/>
      <c r="B553" s="77"/>
      <c r="C553" s="50"/>
      <c r="D553" s="50"/>
      <c r="E553" s="50"/>
      <c r="F553" s="65"/>
      <c r="G553" s="50"/>
      <c r="H553" s="54"/>
      <c r="I553" s="55"/>
    </row>
    <row r="554" spans="1:9" s="4" customFormat="1">
      <c r="A554" s="64"/>
      <c r="B554" s="77"/>
      <c r="C554" s="50"/>
      <c r="D554" s="50"/>
      <c r="E554" s="50"/>
      <c r="F554" s="65"/>
      <c r="G554" s="50"/>
      <c r="H554" s="54"/>
      <c r="I554" s="55"/>
    </row>
    <row r="555" spans="1:9" s="4" customFormat="1">
      <c r="A555" s="64"/>
      <c r="B555" s="77"/>
      <c r="C555" s="50"/>
      <c r="D555" s="50"/>
      <c r="E555" s="50"/>
      <c r="F555" s="65"/>
      <c r="G555" s="50"/>
      <c r="H555" s="54"/>
      <c r="I555" s="55"/>
    </row>
    <row r="556" spans="1:9" s="4" customFormat="1">
      <c r="A556" s="82"/>
      <c r="B556" s="56"/>
      <c r="C556" s="56"/>
      <c r="D556" s="56"/>
      <c r="E556" s="56"/>
      <c r="F556" s="56"/>
      <c r="G556" s="56"/>
      <c r="H556" s="56"/>
      <c r="I556" s="56"/>
    </row>
    <row r="557" spans="1:9" s="4" customFormat="1">
      <c r="A557" s="36"/>
      <c r="B557" s="50"/>
      <c r="C557" s="50"/>
      <c r="D557" s="50"/>
      <c r="E557" s="50"/>
      <c r="F557" s="36"/>
      <c r="G557" s="36"/>
      <c r="H557" s="36"/>
      <c r="I557" s="36"/>
    </row>
    <row r="558" spans="1:9" s="4" customFormat="1">
      <c r="A558" s="36"/>
      <c r="B558" s="36"/>
      <c r="C558" s="78"/>
      <c r="D558" s="78"/>
      <c r="E558" s="79"/>
      <c r="F558" s="80"/>
      <c r="G558" s="78"/>
      <c r="H558" s="36"/>
      <c r="I558" s="81"/>
    </row>
    <row r="559" spans="1:9" s="4" customFormat="1" ht="12"/>
    <row r="560" spans="1:9" s="4" customFormat="1" ht="20.25">
      <c r="A560" s="66"/>
      <c r="B560" s="67"/>
      <c r="G560" s="57"/>
      <c r="H560" s="57"/>
      <c r="I560" s="57"/>
    </row>
    <row r="561" spans="1:9" s="4" customFormat="1" ht="20.25">
      <c r="A561" s="57"/>
      <c r="B561" s="57"/>
      <c r="C561" s="57"/>
      <c r="D561" s="57"/>
      <c r="E561" s="57"/>
      <c r="F561" s="57"/>
      <c r="G561" s="57"/>
      <c r="H561" s="57"/>
      <c r="I561" s="57"/>
    </row>
    <row r="562" spans="1:9" s="4" customFormat="1" ht="29.25" customHeight="1">
      <c r="A562" s="618"/>
      <c r="B562" s="668"/>
      <c r="C562" s="668"/>
      <c r="D562" s="381"/>
      <c r="E562" s="57"/>
      <c r="F562" s="57"/>
      <c r="G562" s="57"/>
      <c r="H562" s="57"/>
      <c r="I562" s="57"/>
    </row>
    <row r="563" spans="1:9" s="4" customFormat="1">
      <c r="A563" s="68"/>
      <c r="B563" s="68"/>
      <c r="C563" s="68"/>
      <c r="D563" s="68"/>
      <c r="E563" s="68"/>
      <c r="F563" s="68"/>
      <c r="G563" s="69"/>
      <c r="H563" s="69"/>
      <c r="I563" s="615"/>
    </row>
    <row r="564" spans="1:9" s="4" customFormat="1">
      <c r="A564" s="68"/>
      <c r="B564" s="68"/>
      <c r="C564" s="68"/>
      <c r="D564" s="68"/>
      <c r="E564" s="68"/>
      <c r="F564" s="68"/>
      <c r="G564" s="69"/>
      <c r="H564" s="69"/>
      <c r="I564" s="615"/>
    </row>
    <row r="565" spans="1:9" s="4" customFormat="1">
      <c r="A565" s="36"/>
      <c r="B565" s="36"/>
      <c r="C565" s="36"/>
      <c r="D565" s="36"/>
      <c r="E565" s="36"/>
      <c r="F565" s="36"/>
      <c r="G565" s="36"/>
      <c r="H565" s="50"/>
      <c r="I565" s="36"/>
    </row>
    <row r="566" spans="1:9" s="4" customFormat="1">
      <c r="A566" s="36"/>
      <c r="B566" s="36"/>
      <c r="C566" s="36"/>
      <c r="D566" s="36"/>
      <c r="E566" s="36"/>
      <c r="F566" s="36"/>
      <c r="G566" s="59"/>
      <c r="H566" s="70"/>
      <c r="I566" s="50"/>
    </row>
    <row r="567" spans="1:9" s="4" customFormat="1">
      <c r="A567" s="36"/>
      <c r="B567" s="36"/>
      <c r="C567" s="36"/>
      <c r="D567" s="36"/>
      <c r="E567" s="36"/>
      <c r="F567" s="36"/>
      <c r="G567" s="59"/>
      <c r="H567" s="70"/>
      <c r="I567" s="50"/>
    </row>
    <row r="568" spans="1:9" s="4" customFormat="1">
      <c r="A568" s="36"/>
      <c r="B568" s="36"/>
      <c r="C568" s="36"/>
      <c r="D568" s="36"/>
      <c r="E568" s="36"/>
      <c r="F568" s="36"/>
      <c r="G568" s="60"/>
      <c r="H568" s="70"/>
      <c r="I568" s="50"/>
    </row>
    <row r="569" spans="1:9" s="4" customFormat="1">
      <c r="A569" s="36"/>
      <c r="B569" s="36"/>
      <c r="C569" s="36"/>
      <c r="D569" s="36"/>
      <c r="E569" s="36"/>
      <c r="F569" s="36"/>
      <c r="G569" s="60"/>
      <c r="H569" s="70"/>
      <c r="I569" s="50"/>
    </row>
    <row r="570" spans="1:9" s="4" customFormat="1">
      <c r="A570" s="36"/>
      <c r="B570" s="36"/>
      <c r="C570" s="36"/>
      <c r="D570" s="36"/>
      <c r="E570" s="36"/>
      <c r="F570" s="36"/>
      <c r="G570" s="60"/>
      <c r="H570" s="70"/>
      <c r="I570" s="50"/>
    </row>
    <row r="571" spans="1:9" s="4" customFormat="1">
      <c r="A571" s="36"/>
      <c r="B571" s="36"/>
      <c r="C571" s="36"/>
      <c r="D571" s="36"/>
      <c r="E571" s="36"/>
      <c r="F571" s="36"/>
      <c r="G571" s="60"/>
      <c r="H571" s="70"/>
      <c r="I571" s="50"/>
    </row>
    <row r="572" spans="1:9" s="4" customFormat="1">
      <c r="A572" s="36"/>
      <c r="B572" s="36"/>
      <c r="C572" s="36"/>
      <c r="D572" s="36"/>
      <c r="E572" s="36"/>
      <c r="F572" s="36"/>
      <c r="G572" s="36"/>
      <c r="H572" s="36"/>
      <c r="I572" s="36"/>
    </row>
    <row r="573" spans="1:9" s="4" customFormat="1">
      <c r="A573" s="68"/>
      <c r="B573" s="68"/>
      <c r="C573" s="68"/>
      <c r="D573" s="68"/>
      <c r="E573" s="68"/>
      <c r="F573" s="68"/>
      <c r="G573" s="622"/>
      <c r="H573" s="71"/>
      <c r="I573" s="71"/>
    </row>
    <row r="574" spans="1:9" s="4" customFormat="1">
      <c r="A574" s="68"/>
      <c r="B574" s="68"/>
      <c r="C574" s="68"/>
      <c r="D574" s="68"/>
      <c r="E574" s="68"/>
      <c r="F574" s="68"/>
      <c r="G574" s="622"/>
      <c r="H574" s="71"/>
      <c r="I574" s="71"/>
    </row>
    <row r="575" spans="1:9" s="4" customFormat="1">
      <c r="A575" s="61"/>
      <c r="B575" s="36"/>
      <c r="C575" s="62"/>
      <c r="D575" s="62"/>
      <c r="E575" s="62"/>
      <c r="F575" s="36"/>
      <c r="G575" s="62"/>
      <c r="H575" s="72"/>
      <c r="I575" s="50"/>
    </row>
    <row r="576" spans="1:9" s="4" customFormat="1">
      <c r="A576" s="36"/>
      <c r="B576" s="36"/>
      <c r="C576" s="36"/>
      <c r="D576" s="36"/>
      <c r="E576" s="36"/>
      <c r="F576" s="36"/>
      <c r="G576" s="50"/>
      <c r="H576" s="50"/>
      <c r="I576" s="70"/>
    </row>
    <row r="577" spans="1:9" s="4" customFormat="1">
      <c r="A577" s="36"/>
      <c r="B577" s="36"/>
      <c r="C577" s="36"/>
      <c r="D577" s="36"/>
      <c r="E577" s="36"/>
      <c r="F577" s="36"/>
      <c r="G577" s="70"/>
      <c r="H577" s="50"/>
      <c r="I577" s="50"/>
    </row>
    <row r="578" spans="1:9" s="4" customFormat="1">
      <c r="A578" s="36"/>
      <c r="B578" s="36"/>
      <c r="C578" s="36"/>
      <c r="D578" s="36"/>
      <c r="E578" s="36"/>
      <c r="F578" s="36"/>
      <c r="G578" s="47"/>
      <c r="H578" s="50"/>
      <c r="I578" s="50"/>
    </row>
    <row r="579" spans="1:9" s="4" customFormat="1">
      <c r="A579" s="36"/>
      <c r="B579" s="36"/>
      <c r="C579" s="36"/>
      <c r="D579" s="36"/>
      <c r="E579" s="36"/>
      <c r="F579" s="36"/>
      <c r="G579" s="73"/>
      <c r="H579" s="50"/>
      <c r="I579" s="50"/>
    </row>
    <row r="580" spans="1:9" s="4" customFormat="1">
      <c r="A580" s="36"/>
      <c r="B580" s="36"/>
      <c r="C580" s="36"/>
      <c r="D580" s="36"/>
      <c r="E580" s="36"/>
      <c r="F580" s="50"/>
      <c r="G580" s="36"/>
      <c r="H580" s="36"/>
      <c r="I580" s="36"/>
    </row>
    <row r="581" spans="1:9" s="4" customFormat="1">
      <c r="A581" s="63"/>
      <c r="B581" s="36"/>
      <c r="C581" s="36"/>
      <c r="D581" s="36"/>
      <c r="E581" s="36"/>
      <c r="F581" s="50"/>
      <c r="G581" s="36"/>
      <c r="H581" s="36"/>
      <c r="I581" s="36"/>
    </row>
    <row r="582" spans="1:9" s="4" customFormat="1">
      <c r="A582" s="36"/>
      <c r="B582" s="74"/>
      <c r="C582" s="36"/>
      <c r="D582" s="36"/>
      <c r="E582" s="36"/>
      <c r="F582" s="36"/>
      <c r="G582" s="36"/>
      <c r="H582" s="36"/>
      <c r="I582" s="36"/>
    </row>
    <row r="583" spans="1:9" s="4" customFormat="1">
      <c r="A583" s="619"/>
      <c r="B583" s="380"/>
      <c r="C583" s="380"/>
      <c r="D583" s="380"/>
      <c r="E583" s="619"/>
      <c r="F583" s="619"/>
      <c r="G583" s="619"/>
      <c r="H583" s="619"/>
      <c r="I583" s="619"/>
    </row>
    <row r="584" spans="1:9" s="4" customFormat="1">
      <c r="A584" s="619"/>
      <c r="B584" s="380"/>
      <c r="C584" s="380"/>
      <c r="D584" s="380"/>
      <c r="E584" s="380"/>
      <c r="F584" s="380"/>
      <c r="G584" s="620"/>
      <c r="H584" s="620"/>
      <c r="I584" s="620"/>
    </row>
    <row r="585" spans="1:9" s="4" customFormat="1">
      <c r="A585" s="64"/>
      <c r="B585" s="76"/>
      <c r="C585" s="50"/>
      <c r="D585" s="50"/>
      <c r="E585" s="50"/>
      <c r="F585" s="65"/>
      <c r="G585" s="50"/>
      <c r="H585" s="50"/>
      <c r="I585" s="55"/>
    </row>
    <row r="586" spans="1:9" s="4" customFormat="1">
      <c r="A586" s="64"/>
      <c r="B586" s="76"/>
      <c r="C586" s="50"/>
      <c r="D586" s="50"/>
      <c r="E586" s="50"/>
      <c r="F586" s="65"/>
      <c r="G586" s="50"/>
      <c r="H586" s="54"/>
      <c r="I586" s="55"/>
    </row>
    <row r="587" spans="1:9" s="4" customFormat="1">
      <c r="A587" s="64"/>
      <c r="B587" s="76"/>
      <c r="C587" s="50"/>
      <c r="D587" s="50"/>
      <c r="E587" s="50"/>
      <c r="F587" s="65"/>
      <c r="G587" s="50"/>
      <c r="H587" s="54"/>
      <c r="I587" s="36"/>
    </row>
    <row r="588" spans="1:9" s="4" customFormat="1">
      <c r="A588" s="64"/>
      <c r="B588" s="76"/>
      <c r="C588" s="50"/>
      <c r="D588" s="50"/>
      <c r="E588" s="50"/>
      <c r="F588" s="65"/>
      <c r="G588" s="50"/>
      <c r="H588" s="54"/>
      <c r="I588" s="55"/>
    </row>
    <row r="589" spans="1:9" s="4" customFormat="1">
      <c r="A589" s="64"/>
      <c r="B589" s="77"/>
      <c r="C589" s="50"/>
      <c r="D589" s="50"/>
      <c r="E589" s="50"/>
      <c r="F589" s="65"/>
      <c r="G589" s="50"/>
      <c r="H589" s="54"/>
      <c r="I589" s="55"/>
    </row>
    <row r="590" spans="1:9" s="4" customFormat="1">
      <c r="A590" s="64"/>
      <c r="B590" s="77"/>
      <c r="C590" s="50"/>
      <c r="D590" s="50"/>
      <c r="E590" s="50"/>
      <c r="F590" s="65"/>
      <c r="G590" s="50"/>
      <c r="H590" s="54"/>
      <c r="I590" s="55"/>
    </row>
    <row r="591" spans="1:9" s="4" customFormat="1">
      <c r="A591" s="64"/>
      <c r="B591" s="77"/>
      <c r="C591" s="50"/>
      <c r="D591" s="50"/>
      <c r="E591" s="50"/>
      <c r="F591" s="65"/>
      <c r="G591" s="50"/>
      <c r="H591" s="54"/>
      <c r="I591" s="55"/>
    </row>
    <row r="592" spans="1:9" s="4" customFormat="1">
      <c r="A592" s="64"/>
      <c r="B592" s="77"/>
      <c r="C592" s="50"/>
      <c r="D592" s="50"/>
      <c r="E592" s="50"/>
      <c r="F592" s="65"/>
      <c r="G592" s="50"/>
      <c r="H592" s="54"/>
      <c r="I592" s="55"/>
    </row>
    <row r="593" spans="1:9" s="4" customFormat="1">
      <c r="A593" s="64"/>
      <c r="B593" s="77"/>
      <c r="C593" s="50"/>
      <c r="D593" s="50"/>
      <c r="E593" s="50"/>
      <c r="F593" s="65"/>
      <c r="G593" s="50"/>
      <c r="H593" s="54"/>
      <c r="I593" s="55"/>
    </row>
    <row r="594" spans="1:9" s="4" customFormat="1">
      <c r="A594" s="64"/>
      <c r="B594" s="77"/>
      <c r="C594" s="50"/>
      <c r="D594" s="50"/>
      <c r="E594" s="50"/>
      <c r="F594" s="65"/>
      <c r="G594" s="50"/>
      <c r="H594" s="54"/>
      <c r="I594" s="55"/>
    </row>
    <row r="595" spans="1:9" s="4" customFormat="1">
      <c r="A595" s="64"/>
      <c r="B595" s="77"/>
      <c r="C595" s="50"/>
      <c r="D595" s="50"/>
      <c r="E595" s="50"/>
      <c r="F595" s="65"/>
      <c r="G595" s="50"/>
      <c r="H595" s="54"/>
      <c r="I595" s="55"/>
    </row>
    <row r="596" spans="1:9" s="4" customFormat="1">
      <c r="A596" s="64"/>
      <c r="B596" s="77"/>
      <c r="C596" s="50"/>
      <c r="D596" s="50"/>
      <c r="E596" s="50"/>
      <c r="F596" s="65"/>
      <c r="G596" s="50"/>
      <c r="H596" s="54"/>
      <c r="I596" s="55"/>
    </row>
    <row r="597" spans="1:9" s="4" customFormat="1">
      <c r="A597" s="64"/>
      <c r="B597" s="77"/>
      <c r="C597" s="50"/>
      <c r="D597" s="50"/>
      <c r="E597" s="50"/>
      <c r="F597" s="65"/>
      <c r="G597" s="50"/>
      <c r="H597" s="54"/>
      <c r="I597" s="55"/>
    </row>
    <row r="598" spans="1:9" s="4" customFormat="1">
      <c r="A598" s="64"/>
      <c r="B598" s="77"/>
      <c r="C598" s="50"/>
      <c r="D598" s="50"/>
      <c r="E598" s="50"/>
      <c r="F598" s="65"/>
      <c r="G598" s="50"/>
      <c r="H598" s="54"/>
      <c r="I598" s="55"/>
    </row>
    <row r="599" spans="1:9" s="4" customFormat="1">
      <c r="A599" s="64"/>
      <c r="B599" s="77"/>
      <c r="C599" s="50"/>
      <c r="D599" s="50"/>
      <c r="E599" s="50"/>
      <c r="F599" s="65"/>
      <c r="G599" s="50"/>
      <c r="H599" s="54"/>
      <c r="I599" s="55"/>
    </row>
    <row r="600" spans="1:9" s="4" customFormat="1">
      <c r="A600" s="64"/>
      <c r="B600" s="77"/>
      <c r="C600" s="50"/>
      <c r="D600" s="50"/>
      <c r="E600" s="50"/>
      <c r="F600" s="65"/>
      <c r="G600" s="50"/>
      <c r="H600" s="54"/>
      <c r="I600" s="55"/>
    </row>
    <row r="601" spans="1:9" s="4" customFormat="1">
      <c r="A601" s="64"/>
      <c r="B601" s="77"/>
      <c r="C601" s="50"/>
      <c r="D601" s="50"/>
      <c r="E601" s="50"/>
      <c r="F601" s="65"/>
      <c r="G601" s="50"/>
      <c r="H601" s="54"/>
      <c r="I601" s="55"/>
    </row>
    <row r="602" spans="1:9" s="4" customFormat="1">
      <c r="A602" s="64"/>
      <c r="B602" s="77"/>
      <c r="C602" s="50"/>
      <c r="D602" s="50"/>
      <c r="E602" s="50"/>
      <c r="F602" s="65"/>
      <c r="G602" s="50"/>
      <c r="H602" s="54"/>
      <c r="I602" s="55"/>
    </row>
    <row r="603" spans="1:9" s="4" customFormat="1">
      <c r="A603" s="64"/>
      <c r="B603" s="77"/>
      <c r="C603" s="50"/>
      <c r="D603" s="50"/>
      <c r="E603" s="50"/>
      <c r="F603" s="65"/>
      <c r="G603" s="50"/>
      <c r="H603" s="54"/>
      <c r="I603" s="55"/>
    </row>
    <row r="604" spans="1:9" s="4" customFormat="1">
      <c r="A604" s="64"/>
      <c r="B604" s="77"/>
      <c r="C604" s="50"/>
      <c r="D604" s="50"/>
      <c r="E604" s="50"/>
      <c r="F604" s="65"/>
      <c r="G604" s="50"/>
      <c r="H604" s="54"/>
      <c r="I604" s="55"/>
    </row>
    <row r="605" spans="1:9" s="4" customFormat="1">
      <c r="A605" s="64"/>
      <c r="B605" s="77"/>
      <c r="C605" s="50"/>
      <c r="D605" s="50"/>
      <c r="E605" s="50"/>
      <c r="F605" s="65"/>
      <c r="G605" s="50"/>
      <c r="H605" s="54"/>
      <c r="I605" s="55"/>
    </row>
    <row r="606" spans="1:9" s="4" customFormat="1">
      <c r="A606" s="64"/>
      <c r="B606" s="77"/>
      <c r="C606" s="50"/>
      <c r="D606" s="50"/>
      <c r="E606" s="50"/>
      <c r="F606" s="65"/>
      <c r="G606" s="50"/>
      <c r="H606" s="54"/>
      <c r="I606" s="55"/>
    </row>
    <row r="607" spans="1:9" s="4" customFormat="1">
      <c r="A607" s="64"/>
      <c r="B607" s="77"/>
      <c r="C607" s="50"/>
      <c r="D607" s="50"/>
      <c r="E607" s="50"/>
      <c r="F607" s="65"/>
      <c r="G607" s="50"/>
      <c r="H607" s="54"/>
      <c r="I607" s="55"/>
    </row>
    <row r="608" spans="1:9" s="4" customFormat="1">
      <c r="A608" s="64"/>
      <c r="B608" s="77"/>
      <c r="C608" s="50"/>
      <c r="D608" s="50"/>
      <c r="E608" s="50"/>
      <c r="F608" s="65"/>
      <c r="G608" s="50"/>
      <c r="H608" s="54"/>
      <c r="I608" s="55"/>
    </row>
    <row r="609" spans="1:9" s="4" customFormat="1">
      <c r="A609" s="64"/>
      <c r="B609" s="77"/>
      <c r="C609" s="50"/>
      <c r="D609" s="50"/>
      <c r="E609" s="50"/>
      <c r="F609" s="65"/>
      <c r="G609" s="50"/>
      <c r="H609" s="54"/>
      <c r="I609" s="55"/>
    </row>
    <row r="610" spans="1:9" s="4" customFormat="1">
      <c r="A610" s="82"/>
      <c r="B610" s="56"/>
      <c r="C610" s="56"/>
      <c r="D610" s="56"/>
      <c r="E610" s="56"/>
      <c r="F610" s="56"/>
      <c r="G610" s="56"/>
      <c r="H610" s="56"/>
      <c r="I610" s="56"/>
    </row>
    <row r="611" spans="1:9" s="4" customFormat="1">
      <c r="A611" s="36"/>
      <c r="B611" s="50"/>
      <c r="C611" s="50"/>
      <c r="D611" s="50"/>
      <c r="E611" s="50"/>
      <c r="F611" s="36"/>
      <c r="G611" s="36"/>
      <c r="H611" s="36"/>
      <c r="I611" s="36"/>
    </row>
    <row r="612" spans="1:9" s="4" customFormat="1">
      <c r="A612" s="36"/>
      <c r="B612" s="36"/>
      <c r="C612" s="78"/>
      <c r="D612" s="78"/>
      <c r="E612" s="79"/>
      <c r="F612" s="80"/>
      <c r="G612" s="78"/>
      <c r="H612" s="36"/>
      <c r="I612" s="81"/>
    </row>
    <row r="613" spans="1:9" s="4" customFormat="1" ht="12"/>
    <row r="614" spans="1:9" s="4" customFormat="1" ht="20.25">
      <c r="A614" s="66"/>
      <c r="B614" s="67"/>
      <c r="G614" s="57"/>
      <c r="H614" s="57"/>
      <c r="I614" s="57"/>
    </row>
    <row r="615" spans="1:9" s="4" customFormat="1" ht="20.25">
      <c r="A615" s="57"/>
      <c r="B615" s="57"/>
      <c r="C615" s="57"/>
      <c r="D615" s="57"/>
      <c r="E615" s="57"/>
      <c r="F615" s="57"/>
      <c r="G615" s="57"/>
      <c r="H615" s="57"/>
      <c r="I615" s="57"/>
    </row>
    <row r="616" spans="1:9" s="4" customFormat="1" ht="31.5" customHeight="1">
      <c r="A616" s="618"/>
      <c r="B616" s="668"/>
      <c r="C616" s="668"/>
      <c r="D616" s="381"/>
      <c r="E616" s="57"/>
      <c r="F616" s="57"/>
      <c r="G616" s="57"/>
      <c r="H616" s="57"/>
      <c r="I616" s="57"/>
    </row>
    <row r="617" spans="1:9" s="4" customFormat="1">
      <c r="A617" s="68"/>
      <c r="B617" s="68"/>
      <c r="C617" s="68"/>
      <c r="D617" s="68"/>
      <c r="E617" s="68"/>
      <c r="F617" s="68"/>
      <c r="G617" s="69"/>
      <c r="H617" s="69"/>
      <c r="I617" s="615"/>
    </row>
    <row r="618" spans="1:9" s="4" customFormat="1">
      <c r="A618" s="68"/>
      <c r="B618" s="68"/>
      <c r="C618" s="68"/>
      <c r="D618" s="68"/>
      <c r="E618" s="68"/>
      <c r="F618" s="68"/>
      <c r="G618" s="69"/>
      <c r="H618" s="69"/>
      <c r="I618" s="615"/>
    </row>
    <row r="619" spans="1:9" s="4" customFormat="1">
      <c r="A619" s="36"/>
      <c r="B619" s="36"/>
      <c r="C619" s="36"/>
      <c r="D619" s="36"/>
      <c r="E619" s="36"/>
      <c r="F619" s="36"/>
      <c r="G619" s="36"/>
      <c r="H619" s="50"/>
      <c r="I619" s="36"/>
    </row>
    <row r="620" spans="1:9" s="4" customFormat="1">
      <c r="A620" s="36"/>
      <c r="B620" s="36"/>
      <c r="C620" s="36"/>
      <c r="D620" s="36"/>
      <c r="E620" s="36"/>
      <c r="F620" s="36"/>
      <c r="G620" s="59"/>
      <c r="H620" s="70"/>
      <c r="I620" s="50"/>
    </row>
    <row r="621" spans="1:9" s="4" customFormat="1">
      <c r="A621" s="36"/>
      <c r="B621" s="36"/>
      <c r="C621" s="36"/>
      <c r="D621" s="36"/>
      <c r="E621" s="36"/>
      <c r="F621" s="36"/>
      <c r="G621" s="59"/>
      <c r="H621" s="70"/>
      <c r="I621" s="50"/>
    </row>
    <row r="622" spans="1:9" s="4" customFormat="1">
      <c r="A622" s="36"/>
      <c r="B622" s="36"/>
      <c r="C622" s="36"/>
      <c r="D622" s="36"/>
      <c r="E622" s="36"/>
      <c r="F622" s="36"/>
      <c r="G622" s="60"/>
      <c r="H622" s="70"/>
      <c r="I622" s="50"/>
    </row>
    <row r="623" spans="1:9" s="4" customFormat="1">
      <c r="A623" s="36"/>
      <c r="B623" s="36"/>
      <c r="C623" s="36"/>
      <c r="D623" s="36"/>
      <c r="E623" s="36"/>
      <c r="F623" s="36"/>
      <c r="G623" s="60"/>
      <c r="H623" s="70"/>
      <c r="I623" s="50"/>
    </row>
    <row r="624" spans="1:9" s="4" customFormat="1">
      <c r="A624" s="36"/>
      <c r="B624" s="36"/>
      <c r="C624" s="36"/>
      <c r="D624" s="36"/>
      <c r="E624" s="36"/>
      <c r="F624" s="36"/>
      <c r="G624" s="60"/>
      <c r="H624" s="70"/>
      <c r="I624" s="50"/>
    </row>
    <row r="625" spans="1:9" s="4" customFormat="1">
      <c r="A625" s="36"/>
      <c r="B625" s="36"/>
      <c r="C625" s="36"/>
      <c r="D625" s="36"/>
      <c r="E625" s="36"/>
      <c r="F625" s="36"/>
      <c r="G625" s="60"/>
      <c r="H625" s="70"/>
      <c r="I625" s="50"/>
    </row>
    <row r="626" spans="1:9" s="4" customFormat="1">
      <c r="A626" s="36"/>
      <c r="B626" s="36"/>
      <c r="C626" s="36"/>
      <c r="D626" s="36"/>
      <c r="E626" s="36"/>
      <c r="F626" s="36"/>
      <c r="G626" s="36"/>
      <c r="H626" s="36"/>
      <c r="I626" s="36"/>
    </row>
    <row r="627" spans="1:9" s="4" customFormat="1">
      <c r="A627" s="68"/>
      <c r="B627" s="68"/>
      <c r="C627" s="68"/>
      <c r="D627" s="68"/>
      <c r="E627" s="68"/>
      <c r="F627" s="68"/>
      <c r="G627" s="622"/>
      <c r="H627" s="71"/>
      <c r="I627" s="71"/>
    </row>
    <row r="628" spans="1:9" s="4" customFormat="1">
      <c r="A628" s="68"/>
      <c r="B628" s="68"/>
      <c r="C628" s="68"/>
      <c r="D628" s="68"/>
      <c r="E628" s="68"/>
      <c r="F628" s="68"/>
      <c r="G628" s="622"/>
      <c r="H628" s="71"/>
      <c r="I628" s="71"/>
    </row>
    <row r="629" spans="1:9" s="4" customFormat="1">
      <c r="A629" s="61"/>
      <c r="B629" s="36"/>
      <c r="C629" s="62"/>
      <c r="D629" s="62"/>
      <c r="E629" s="62"/>
      <c r="F629" s="36"/>
      <c r="G629" s="62"/>
      <c r="H629" s="72"/>
      <c r="I629" s="50"/>
    </row>
    <row r="630" spans="1:9" s="4" customFormat="1">
      <c r="A630" s="36"/>
      <c r="B630" s="36"/>
      <c r="C630" s="36"/>
      <c r="D630" s="36"/>
      <c r="E630" s="36"/>
      <c r="F630" s="36"/>
      <c r="G630" s="50"/>
      <c r="H630" s="50"/>
      <c r="I630" s="70"/>
    </row>
    <row r="631" spans="1:9" s="4" customFormat="1">
      <c r="A631" s="36"/>
      <c r="B631" s="36"/>
      <c r="C631" s="36"/>
      <c r="D631" s="36"/>
      <c r="E631" s="36"/>
      <c r="F631" s="36"/>
      <c r="G631" s="70"/>
      <c r="H631" s="50"/>
      <c r="I631" s="50"/>
    </row>
    <row r="632" spans="1:9" s="4" customFormat="1">
      <c r="A632" s="36"/>
      <c r="B632" s="36"/>
      <c r="C632" s="36"/>
      <c r="D632" s="36"/>
      <c r="E632" s="36"/>
      <c r="F632" s="36"/>
      <c r="G632" s="47"/>
      <c r="H632" s="50"/>
      <c r="I632" s="50"/>
    </row>
    <row r="633" spans="1:9" s="4" customFormat="1">
      <c r="A633" s="36"/>
      <c r="B633" s="36"/>
      <c r="C633" s="36"/>
      <c r="D633" s="36"/>
      <c r="E633" s="36"/>
      <c r="F633" s="36"/>
      <c r="G633" s="73"/>
      <c r="H633" s="50"/>
      <c r="I633" s="50"/>
    </row>
    <row r="634" spans="1:9" s="4" customFormat="1">
      <c r="A634" s="36"/>
      <c r="B634" s="36"/>
      <c r="C634" s="36"/>
      <c r="D634" s="36"/>
      <c r="E634" s="36"/>
      <c r="F634" s="50"/>
      <c r="G634" s="36"/>
      <c r="H634" s="36"/>
      <c r="I634" s="36"/>
    </row>
    <row r="635" spans="1:9" s="4" customFormat="1">
      <c r="A635" s="63"/>
      <c r="B635" s="36"/>
      <c r="C635" s="36"/>
      <c r="D635" s="36"/>
      <c r="E635" s="36"/>
      <c r="F635" s="50"/>
      <c r="G635" s="36"/>
      <c r="H635" s="36"/>
      <c r="I635" s="36"/>
    </row>
    <row r="636" spans="1:9" s="4" customFormat="1">
      <c r="A636" s="36"/>
      <c r="B636" s="74"/>
      <c r="C636" s="36"/>
      <c r="D636" s="36"/>
      <c r="E636" s="36"/>
      <c r="F636" s="36"/>
      <c r="G636" s="36"/>
      <c r="H636" s="36"/>
      <c r="I636" s="36"/>
    </row>
    <row r="637" spans="1:9" s="4" customFormat="1">
      <c r="A637" s="619"/>
      <c r="B637" s="380"/>
      <c r="C637" s="380"/>
      <c r="D637" s="380"/>
      <c r="E637" s="619"/>
      <c r="F637" s="619"/>
      <c r="G637" s="619"/>
      <c r="H637" s="619"/>
      <c r="I637" s="619"/>
    </row>
    <row r="638" spans="1:9" s="4" customFormat="1">
      <c r="A638" s="619"/>
      <c r="B638" s="380"/>
      <c r="C638" s="380"/>
      <c r="D638" s="380"/>
      <c r="E638" s="380"/>
      <c r="F638" s="380"/>
      <c r="G638" s="620"/>
      <c r="H638" s="620"/>
      <c r="I638" s="620"/>
    </row>
    <row r="639" spans="1:9" s="4" customFormat="1">
      <c r="A639" s="64"/>
      <c r="B639" s="76"/>
      <c r="C639" s="50"/>
      <c r="D639" s="50"/>
      <c r="E639" s="50"/>
      <c r="F639" s="65"/>
      <c r="G639" s="50"/>
      <c r="H639" s="50"/>
      <c r="I639" s="55"/>
    </row>
    <row r="640" spans="1:9" s="4" customFormat="1">
      <c r="A640" s="64"/>
      <c r="B640" s="76"/>
      <c r="C640" s="50"/>
      <c r="D640" s="50"/>
      <c r="E640" s="50"/>
      <c r="F640" s="65"/>
      <c r="G640" s="50"/>
      <c r="H640" s="54"/>
      <c r="I640" s="55"/>
    </row>
    <row r="641" spans="1:9" s="4" customFormat="1">
      <c r="A641" s="64"/>
      <c r="B641" s="76"/>
      <c r="C641" s="50"/>
      <c r="D641" s="50"/>
      <c r="E641" s="50"/>
      <c r="F641" s="65"/>
      <c r="G641" s="50"/>
      <c r="H641" s="54"/>
      <c r="I641" s="36"/>
    </row>
    <row r="642" spans="1:9" s="4" customFormat="1">
      <c r="A642" s="64"/>
      <c r="B642" s="76"/>
      <c r="C642" s="50"/>
      <c r="D642" s="50"/>
      <c r="E642" s="50"/>
      <c r="F642" s="65"/>
      <c r="G642" s="50"/>
      <c r="H642" s="54"/>
      <c r="I642" s="55"/>
    </row>
    <row r="643" spans="1:9" s="4" customFormat="1">
      <c r="A643" s="64"/>
      <c r="B643" s="77"/>
      <c r="C643" s="50"/>
      <c r="D643" s="50"/>
      <c r="E643" s="50"/>
      <c r="F643" s="65"/>
      <c r="G643" s="50"/>
      <c r="H643" s="54"/>
      <c r="I643" s="55"/>
    </row>
    <row r="644" spans="1:9" s="4" customFormat="1">
      <c r="A644" s="64"/>
      <c r="B644" s="77"/>
      <c r="C644" s="50"/>
      <c r="D644" s="50"/>
      <c r="E644" s="50"/>
      <c r="F644" s="65"/>
      <c r="G644" s="50"/>
      <c r="H644" s="54"/>
      <c r="I644" s="55"/>
    </row>
    <row r="645" spans="1:9" s="4" customFormat="1">
      <c r="A645" s="64"/>
      <c r="B645" s="77"/>
      <c r="C645" s="50"/>
      <c r="D645" s="50"/>
      <c r="E645" s="50"/>
      <c r="F645" s="65"/>
      <c r="G645" s="50"/>
      <c r="H645" s="54"/>
      <c r="I645" s="55"/>
    </row>
    <row r="646" spans="1:9" s="4" customFormat="1">
      <c r="A646" s="64"/>
      <c r="B646" s="77"/>
      <c r="C646" s="50"/>
      <c r="D646" s="50"/>
      <c r="E646" s="50"/>
      <c r="F646" s="65"/>
      <c r="G646" s="50"/>
      <c r="H646" s="54"/>
      <c r="I646" s="55"/>
    </row>
    <row r="647" spans="1:9" s="4" customFormat="1">
      <c r="A647" s="64"/>
      <c r="B647" s="77"/>
      <c r="C647" s="50"/>
      <c r="D647" s="50"/>
      <c r="E647" s="50"/>
      <c r="F647" s="65"/>
      <c r="G647" s="50"/>
      <c r="H647" s="54"/>
      <c r="I647" s="55"/>
    </row>
    <row r="648" spans="1:9" s="4" customFormat="1">
      <c r="A648" s="64"/>
      <c r="B648" s="77"/>
      <c r="C648" s="50"/>
      <c r="D648" s="50"/>
      <c r="E648" s="50"/>
      <c r="F648" s="65"/>
      <c r="G648" s="50"/>
      <c r="H648" s="54"/>
      <c r="I648" s="55"/>
    </row>
    <row r="649" spans="1:9" s="4" customFormat="1">
      <c r="A649" s="64"/>
      <c r="B649" s="77"/>
      <c r="C649" s="50"/>
      <c r="D649" s="50"/>
      <c r="E649" s="50"/>
      <c r="F649" s="65"/>
      <c r="G649" s="50"/>
      <c r="H649" s="54"/>
      <c r="I649" s="55"/>
    </row>
    <row r="650" spans="1:9" s="4" customFormat="1">
      <c r="A650" s="64"/>
      <c r="B650" s="77"/>
      <c r="C650" s="50"/>
      <c r="D650" s="50"/>
      <c r="E650" s="50"/>
      <c r="F650" s="65"/>
      <c r="G650" s="50"/>
      <c r="H650" s="54"/>
      <c r="I650" s="55"/>
    </row>
    <row r="651" spans="1:9" s="4" customFormat="1">
      <c r="A651" s="64"/>
      <c r="B651" s="77"/>
      <c r="C651" s="50"/>
      <c r="D651" s="50"/>
      <c r="E651" s="50"/>
      <c r="F651" s="65"/>
      <c r="G651" s="50"/>
      <c r="H651" s="54"/>
      <c r="I651" s="55"/>
    </row>
    <row r="652" spans="1:9" s="4" customFormat="1">
      <c r="A652" s="64"/>
      <c r="B652" s="77"/>
      <c r="C652" s="50"/>
      <c r="D652" s="50"/>
      <c r="E652" s="50"/>
      <c r="F652" s="65"/>
      <c r="G652" s="50"/>
      <c r="H652" s="54"/>
      <c r="I652" s="55"/>
    </row>
    <row r="653" spans="1:9" s="4" customFormat="1">
      <c r="A653" s="64"/>
      <c r="B653" s="77"/>
      <c r="C653" s="50"/>
      <c r="D653" s="50"/>
      <c r="E653" s="50"/>
      <c r="F653" s="65"/>
      <c r="G653" s="50"/>
      <c r="H653" s="54"/>
      <c r="I653" s="55"/>
    </row>
    <row r="654" spans="1:9" s="4" customFormat="1">
      <c r="A654" s="64"/>
      <c r="B654" s="77"/>
      <c r="C654" s="50"/>
      <c r="D654" s="50"/>
      <c r="E654" s="50"/>
      <c r="F654" s="65"/>
      <c r="G654" s="50"/>
      <c r="H654" s="54"/>
      <c r="I654" s="55"/>
    </row>
    <row r="655" spans="1:9" s="4" customFormat="1">
      <c r="A655" s="64"/>
      <c r="B655" s="77"/>
      <c r="C655" s="50"/>
      <c r="D655" s="50"/>
      <c r="E655" s="50"/>
      <c r="F655" s="65"/>
      <c r="G655" s="50"/>
      <c r="H655" s="54"/>
      <c r="I655" s="55"/>
    </row>
    <row r="656" spans="1:9" s="4" customFormat="1">
      <c r="A656" s="64"/>
      <c r="B656" s="77"/>
      <c r="C656" s="50"/>
      <c r="D656" s="50"/>
      <c r="E656" s="50"/>
      <c r="F656" s="65"/>
      <c r="G656" s="50"/>
      <c r="H656" s="54"/>
      <c r="I656" s="55"/>
    </row>
    <row r="657" spans="1:9" s="4" customFormat="1">
      <c r="A657" s="64"/>
      <c r="B657" s="77"/>
      <c r="C657" s="50"/>
      <c r="D657" s="50"/>
      <c r="E657" s="50"/>
      <c r="F657" s="65"/>
      <c r="G657" s="50"/>
      <c r="H657" s="54"/>
      <c r="I657" s="55"/>
    </row>
    <row r="658" spans="1:9" s="4" customFormat="1">
      <c r="A658" s="64"/>
      <c r="B658" s="77"/>
      <c r="C658" s="50"/>
      <c r="D658" s="50"/>
      <c r="E658" s="50"/>
      <c r="F658" s="65"/>
      <c r="G658" s="50"/>
      <c r="H658" s="54"/>
      <c r="I658" s="55"/>
    </row>
    <row r="659" spans="1:9" s="4" customFormat="1">
      <c r="A659" s="64"/>
      <c r="B659" s="77"/>
      <c r="C659" s="50"/>
      <c r="D659" s="50"/>
      <c r="E659" s="50"/>
      <c r="F659" s="65"/>
      <c r="G659" s="50"/>
      <c r="H659" s="54"/>
      <c r="I659" s="55"/>
    </row>
    <row r="660" spans="1:9" s="4" customFormat="1">
      <c r="A660" s="64"/>
      <c r="B660" s="77"/>
      <c r="C660" s="50"/>
      <c r="D660" s="50"/>
      <c r="E660" s="50"/>
      <c r="F660" s="65"/>
      <c r="G660" s="50"/>
      <c r="H660" s="54"/>
      <c r="I660" s="55"/>
    </row>
    <row r="661" spans="1:9" s="4" customFormat="1">
      <c r="A661" s="64"/>
      <c r="B661" s="77"/>
      <c r="C661" s="50"/>
      <c r="D661" s="50"/>
      <c r="E661" s="50"/>
      <c r="F661" s="65"/>
      <c r="G661" s="50"/>
      <c r="H661" s="54"/>
      <c r="I661" s="55"/>
    </row>
    <row r="662" spans="1:9" s="4" customFormat="1">
      <c r="A662" s="64"/>
      <c r="B662" s="77"/>
      <c r="C662" s="50"/>
      <c r="D662" s="50"/>
      <c r="E662" s="50"/>
      <c r="F662" s="65"/>
      <c r="G662" s="50"/>
      <c r="H662" s="54"/>
      <c r="I662" s="55"/>
    </row>
    <row r="663" spans="1:9" s="4" customFormat="1">
      <c r="A663" s="64"/>
      <c r="B663" s="77"/>
      <c r="C663" s="50"/>
      <c r="D663" s="50"/>
      <c r="E663" s="50"/>
      <c r="F663" s="65"/>
      <c r="G663" s="50"/>
      <c r="H663" s="54"/>
      <c r="I663" s="55"/>
    </row>
    <row r="664" spans="1:9" s="4" customFormat="1">
      <c r="A664" s="82"/>
      <c r="B664" s="56"/>
      <c r="C664" s="56"/>
      <c r="D664" s="56"/>
      <c r="E664" s="56"/>
      <c r="F664" s="56"/>
      <c r="G664" s="56"/>
      <c r="H664" s="56"/>
      <c r="I664" s="56"/>
    </row>
    <row r="665" spans="1:9" s="4" customFormat="1">
      <c r="A665" s="36"/>
      <c r="B665" s="50"/>
      <c r="C665" s="50"/>
      <c r="D665" s="50"/>
      <c r="E665" s="50"/>
      <c r="F665" s="36"/>
      <c r="G665" s="36"/>
      <c r="H665" s="36"/>
      <c r="I665" s="36"/>
    </row>
    <row r="666" spans="1:9" s="4" customFormat="1">
      <c r="A666" s="36"/>
      <c r="B666" s="36"/>
      <c r="C666" s="78"/>
      <c r="D666" s="78"/>
      <c r="E666" s="79"/>
      <c r="F666" s="80"/>
      <c r="G666" s="78"/>
      <c r="H666" s="36"/>
      <c r="I666" s="81"/>
    </row>
    <row r="667" spans="1:9" s="4" customFormat="1" ht="12"/>
    <row r="668" spans="1:9" s="4" customFormat="1" ht="12"/>
    <row r="669" spans="1:9" s="4" customFormat="1" ht="20.25">
      <c r="A669" s="618"/>
      <c r="B669" s="668"/>
      <c r="C669" s="668"/>
      <c r="D669" s="381"/>
      <c r="E669" s="57"/>
      <c r="F669" s="57"/>
      <c r="G669" s="57"/>
      <c r="H669" s="57"/>
      <c r="I669" s="57"/>
    </row>
    <row r="670" spans="1:9" s="4" customFormat="1">
      <c r="A670" s="68"/>
      <c r="B670" s="68"/>
      <c r="C670" s="68"/>
      <c r="D670" s="68"/>
      <c r="E670" s="68"/>
      <c r="F670" s="68"/>
      <c r="G670" s="69"/>
      <c r="H670" s="69"/>
      <c r="I670" s="615"/>
    </row>
    <row r="671" spans="1:9" s="4" customFormat="1">
      <c r="A671" s="68"/>
      <c r="B671" s="68"/>
      <c r="C671" s="68"/>
      <c r="D671" s="68"/>
      <c r="E671" s="68"/>
      <c r="F671" s="68"/>
      <c r="G671" s="69"/>
      <c r="H671" s="69"/>
      <c r="I671" s="615"/>
    </row>
    <row r="672" spans="1:9" s="4" customFormat="1">
      <c r="A672" s="36"/>
      <c r="B672" s="36"/>
      <c r="C672" s="36"/>
      <c r="D672" s="36"/>
      <c r="E672" s="36"/>
      <c r="F672" s="36"/>
      <c r="G672" s="36"/>
      <c r="H672" s="50"/>
      <c r="I672" s="36"/>
    </row>
    <row r="673" spans="1:9" s="4" customFormat="1">
      <c r="A673" s="36"/>
      <c r="B673" s="36"/>
      <c r="C673" s="36"/>
      <c r="D673" s="36"/>
      <c r="E673" s="36"/>
      <c r="F673" s="36"/>
      <c r="G673" s="58"/>
      <c r="H673" s="70"/>
      <c r="I673" s="50"/>
    </row>
    <row r="674" spans="1:9" s="4" customFormat="1">
      <c r="A674" s="36"/>
      <c r="B674" s="36"/>
      <c r="C674" s="36"/>
      <c r="D674" s="36"/>
      <c r="E674" s="36"/>
      <c r="F674" s="36"/>
      <c r="G674" s="59"/>
      <c r="H674" s="70"/>
      <c r="I674" s="50"/>
    </row>
    <row r="675" spans="1:9" s="4" customFormat="1">
      <c r="A675" s="36"/>
      <c r="B675" s="36"/>
      <c r="C675" s="36"/>
      <c r="D675" s="36"/>
      <c r="E675" s="36"/>
      <c r="F675" s="36"/>
      <c r="G675" s="60"/>
      <c r="H675" s="70"/>
      <c r="I675" s="50"/>
    </row>
    <row r="676" spans="1:9" s="4" customFormat="1">
      <c r="A676" s="36"/>
      <c r="B676" s="36"/>
      <c r="C676" s="36"/>
      <c r="D676" s="36"/>
      <c r="E676" s="36"/>
      <c r="F676" s="36"/>
      <c r="G676" s="60"/>
      <c r="H676" s="70"/>
      <c r="I676" s="50"/>
    </row>
    <row r="677" spans="1:9" s="4" customFormat="1">
      <c r="A677" s="36"/>
      <c r="B677" s="36"/>
      <c r="C677" s="36"/>
      <c r="D677" s="36"/>
      <c r="E677" s="36"/>
      <c r="F677" s="36"/>
      <c r="G677" s="60"/>
      <c r="H677" s="70"/>
      <c r="I677" s="50"/>
    </row>
    <row r="678" spans="1:9" s="4" customFormat="1">
      <c r="A678" s="36"/>
      <c r="B678" s="36"/>
      <c r="C678" s="36"/>
      <c r="D678" s="36"/>
      <c r="E678" s="36"/>
      <c r="F678" s="36"/>
      <c r="G678" s="60"/>
      <c r="H678" s="70"/>
      <c r="I678" s="50"/>
    </row>
    <row r="679" spans="1:9" s="4" customFormat="1">
      <c r="A679" s="36"/>
      <c r="B679" s="36"/>
      <c r="C679" s="36"/>
      <c r="D679" s="36"/>
      <c r="E679" s="36"/>
      <c r="F679" s="36"/>
      <c r="G679" s="36"/>
      <c r="H679" s="36"/>
      <c r="I679" s="36"/>
    </row>
    <row r="680" spans="1:9" s="4" customFormat="1">
      <c r="A680" s="68"/>
      <c r="B680" s="68"/>
      <c r="C680" s="68"/>
      <c r="D680" s="68"/>
      <c r="E680" s="68"/>
      <c r="F680" s="68"/>
      <c r="G680" s="622"/>
      <c r="H680" s="71"/>
      <c r="I680" s="71"/>
    </row>
    <row r="681" spans="1:9" s="4" customFormat="1">
      <c r="A681" s="68"/>
      <c r="B681" s="68"/>
      <c r="C681" s="68"/>
      <c r="D681" s="68"/>
      <c r="E681" s="68"/>
      <c r="F681" s="68"/>
      <c r="G681" s="622"/>
      <c r="H681" s="71"/>
      <c r="I681" s="71"/>
    </row>
    <row r="682" spans="1:9" s="4" customFormat="1">
      <c r="A682" s="61"/>
      <c r="B682" s="36"/>
      <c r="C682" s="62"/>
      <c r="D682" s="62"/>
      <c r="E682" s="62"/>
      <c r="F682" s="36"/>
      <c r="G682" s="62"/>
      <c r="H682" s="72"/>
      <c r="I682" s="50"/>
    </row>
    <row r="683" spans="1:9" s="4" customFormat="1">
      <c r="A683" s="36"/>
      <c r="B683" s="36"/>
      <c r="C683" s="36"/>
      <c r="D683" s="36"/>
      <c r="E683" s="36"/>
      <c r="F683" s="36"/>
      <c r="G683" s="50"/>
      <c r="H683" s="50"/>
      <c r="I683" s="70"/>
    </row>
    <row r="684" spans="1:9" s="4" customFormat="1">
      <c r="A684" s="36"/>
      <c r="B684" s="36"/>
      <c r="C684" s="36"/>
      <c r="D684" s="36"/>
      <c r="E684" s="36"/>
      <c r="F684" s="36"/>
      <c r="G684" s="70"/>
      <c r="H684" s="50"/>
      <c r="I684" s="50"/>
    </row>
    <row r="685" spans="1:9" s="4" customFormat="1">
      <c r="A685" s="36"/>
      <c r="B685" s="36"/>
      <c r="C685" s="36"/>
      <c r="D685" s="36"/>
      <c r="E685" s="36"/>
      <c r="F685" s="36"/>
      <c r="G685" s="47"/>
      <c r="H685" s="50"/>
      <c r="I685" s="50"/>
    </row>
    <row r="686" spans="1:9" s="4" customFormat="1">
      <c r="A686" s="36"/>
      <c r="B686" s="36"/>
      <c r="C686" s="36"/>
      <c r="D686" s="36"/>
      <c r="E686" s="36"/>
      <c r="F686" s="36"/>
      <c r="G686" s="73"/>
      <c r="H686" s="50"/>
      <c r="I686" s="50"/>
    </row>
    <row r="687" spans="1:9" s="4" customFormat="1">
      <c r="A687" s="36"/>
      <c r="B687" s="36"/>
      <c r="C687" s="36"/>
      <c r="D687" s="36"/>
      <c r="E687" s="36"/>
      <c r="F687" s="50"/>
      <c r="G687" s="36"/>
      <c r="H687" s="36"/>
      <c r="I687" s="36"/>
    </row>
    <row r="688" spans="1:9" s="4" customFormat="1">
      <c r="A688" s="63"/>
      <c r="B688" s="36"/>
      <c r="C688" s="36"/>
      <c r="D688" s="36"/>
      <c r="E688" s="36"/>
      <c r="F688" s="50"/>
      <c r="G688" s="36"/>
      <c r="H688" s="36"/>
      <c r="I688" s="36"/>
    </row>
    <row r="689" spans="1:9" s="4" customFormat="1">
      <c r="A689" s="36"/>
      <c r="B689" s="74"/>
      <c r="C689" s="36"/>
      <c r="D689" s="36"/>
      <c r="E689" s="36"/>
      <c r="F689" s="36"/>
      <c r="G689" s="36"/>
      <c r="H689" s="36"/>
      <c r="I689" s="36"/>
    </row>
    <row r="690" spans="1:9" s="4" customFormat="1">
      <c r="A690" s="619"/>
      <c r="B690" s="380"/>
      <c r="C690" s="380"/>
      <c r="D690" s="380"/>
      <c r="E690" s="619"/>
      <c r="F690" s="619"/>
      <c r="G690" s="619"/>
      <c r="H690" s="619"/>
      <c r="I690" s="619"/>
    </row>
    <row r="691" spans="1:9" s="4" customFormat="1">
      <c r="A691" s="619"/>
      <c r="B691" s="380"/>
      <c r="C691" s="380"/>
      <c r="D691" s="380"/>
      <c r="E691" s="380"/>
      <c r="F691" s="380"/>
      <c r="G691" s="620"/>
      <c r="H691" s="620"/>
      <c r="I691" s="620"/>
    </row>
    <row r="692" spans="1:9" s="4" customFormat="1">
      <c r="A692" s="64"/>
      <c r="B692" s="76"/>
      <c r="C692" s="50"/>
      <c r="D692" s="50"/>
      <c r="E692" s="50"/>
      <c r="F692" s="65"/>
      <c r="G692" s="50"/>
      <c r="H692" s="50"/>
      <c r="I692" s="55"/>
    </row>
    <row r="693" spans="1:9" s="4" customFormat="1">
      <c r="A693" s="64"/>
      <c r="B693" s="76"/>
      <c r="C693" s="50"/>
      <c r="D693" s="50"/>
      <c r="E693" s="50"/>
      <c r="F693" s="65"/>
      <c r="G693" s="50"/>
      <c r="H693" s="54"/>
      <c r="I693" s="55"/>
    </row>
    <row r="694" spans="1:9" s="4" customFormat="1">
      <c r="A694" s="64"/>
      <c r="B694" s="76"/>
      <c r="C694" s="50"/>
      <c r="D694" s="50"/>
      <c r="E694" s="50"/>
      <c r="F694" s="65"/>
      <c r="G694" s="50"/>
      <c r="H694" s="54"/>
      <c r="I694" s="36"/>
    </row>
    <row r="695" spans="1:9" s="4" customFormat="1">
      <c r="A695" s="64"/>
      <c r="B695" s="76"/>
      <c r="C695" s="50"/>
      <c r="D695" s="50"/>
      <c r="E695" s="50"/>
      <c r="F695" s="65"/>
      <c r="G695" s="50"/>
      <c r="H695" s="54"/>
      <c r="I695" s="55"/>
    </row>
    <row r="696" spans="1:9" s="4" customFormat="1">
      <c r="A696" s="64"/>
      <c r="B696" s="77"/>
      <c r="C696" s="50"/>
      <c r="D696" s="50"/>
      <c r="E696" s="50"/>
      <c r="F696" s="65"/>
      <c r="G696" s="50"/>
      <c r="H696" s="54"/>
      <c r="I696" s="55"/>
    </row>
    <row r="697" spans="1:9" s="4" customFormat="1">
      <c r="A697" s="64"/>
      <c r="B697" s="77"/>
      <c r="C697" s="50"/>
      <c r="D697" s="50"/>
      <c r="E697" s="50"/>
      <c r="F697" s="65"/>
      <c r="G697" s="50"/>
      <c r="H697" s="54"/>
      <c r="I697" s="55"/>
    </row>
    <row r="698" spans="1:9" s="4" customFormat="1">
      <c r="A698" s="64"/>
      <c r="B698" s="77"/>
      <c r="C698" s="50"/>
      <c r="D698" s="50"/>
      <c r="E698" s="50"/>
      <c r="F698" s="65"/>
      <c r="G698" s="50"/>
      <c r="H698" s="54"/>
      <c r="I698" s="55"/>
    </row>
    <row r="699" spans="1:9" s="4" customFormat="1">
      <c r="A699" s="64"/>
      <c r="B699" s="77"/>
      <c r="C699" s="50"/>
      <c r="D699" s="50"/>
      <c r="E699" s="50"/>
      <c r="F699" s="65"/>
      <c r="G699" s="50"/>
      <c r="H699" s="54"/>
      <c r="I699" s="55"/>
    </row>
    <row r="700" spans="1:9" s="4" customFormat="1">
      <c r="A700" s="64"/>
      <c r="B700" s="77"/>
      <c r="C700" s="50"/>
      <c r="D700" s="50"/>
      <c r="E700" s="50"/>
      <c r="F700" s="65"/>
      <c r="G700" s="50"/>
      <c r="H700" s="54"/>
      <c r="I700" s="55"/>
    </row>
    <row r="701" spans="1:9" s="4" customFormat="1">
      <c r="A701" s="64"/>
      <c r="B701" s="77"/>
      <c r="C701" s="50"/>
      <c r="D701" s="50"/>
      <c r="E701" s="50"/>
      <c r="F701" s="65"/>
      <c r="G701" s="50"/>
      <c r="H701" s="54"/>
      <c r="I701" s="55"/>
    </row>
    <row r="702" spans="1:9" s="4" customFormat="1">
      <c r="A702" s="64"/>
      <c r="B702" s="77"/>
      <c r="C702" s="50"/>
      <c r="D702" s="50"/>
      <c r="E702" s="50"/>
      <c r="F702" s="65"/>
      <c r="G702" s="50"/>
      <c r="H702" s="54"/>
      <c r="I702" s="55"/>
    </row>
    <row r="703" spans="1:9" s="4" customFormat="1">
      <c r="A703" s="64"/>
      <c r="B703" s="77"/>
      <c r="C703" s="50"/>
      <c r="D703" s="50"/>
      <c r="E703" s="50"/>
      <c r="F703" s="65"/>
      <c r="G703" s="50"/>
      <c r="H703" s="54"/>
      <c r="I703" s="55"/>
    </row>
    <row r="704" spans="1:9" s="4" customFormat="1">
      <c r="A704" s="64"/>
      <c r="B704" s="77"/>
      <c r="C704" s="50"/>
      <c r="D704" s="50"/>
      <c r="E704" s="50"/>
      <c r="F704" s="65"/>
      <c r="G704" s="50"/>
      <c r="H704" s="54"/>
      <c r="I704" s="55"/>
    </row>
    <row r="705" spans="1:9" s="4" customFormat="1">
      <c r="A705" s="64"/>
      <c r="B705" s="77"/>
      <c r="C705" s="50"/>
      <c r="D705" s="50"/>
      <c r="E705" s="50"/>
      <c r="F705" s="65"/>
      <c r="G705" s="50"/>
      <c r="H705" s="54"/>
      <c r="I705" s="55"/>
    </row>
    <row r="706" spans="1:9" s="4" customFormat="1">
      <c r="A706" s="64"/>
      <c r="B706" s="77"/>
      <c r="C706" s="50"/>
      <c r="D706" s="50"/>
      <c r="E706" s="50"/>
      <c r="F706" s="65"/>
      <c r="G706" s="50"/>
      <c r="H706" s="54"/>
      <c r="I706" s="55"/>
    </row>
    <row r="707" spans="1:9" s="4" customFormat="1">
      <c r="A707" s="64"/>
      <c r="B707" s="77"/>
      <c r="C707" s="50"/>
      <c r="D707" s="50"/>
      <c r="E707" s="50"/>
      <c r="F707" s="65"/>
      <c r="G707" s="50"/>
      <c r="H707" s="54"/>
      <c r="I707" s="55"/>
    </row>
    <row r="708" spans="1:9" s="4" customFormat="1">
      <c r="A708" s="64"/>
      <c r="B708" s="77"/>
      <c r="C708" s="50"/>
      <c r="D708" s="50"/>
      <c r="E708" s="50"/>
      <c r="F708" s="65"/>
      <c r="G708" s="50"/>
      <c r="H708" s="54"/>
      <c r="I708" s="55"/>
    </row>
    <row r="709" spans="1:9" s="4" customFormat="1">
      <c r="A709" s="64"/>
      <c r="B709" s="77"/>
      <c r="C709" s="50"/>
      <c r="D709" s="50"/>
      <c r="E709" s="50"/>
      <c r="F709" s="65"/>
      <c r="G709" s="50"/>
      <c r="H709" s="54"/>
      <c r="I709" s="55"/>
    </row>
    <row r="710" spans="1:9" s="4" customFormat="1">
      <c r="A710" s="64"/>
      <c r="B710" s="77"/>
      <c r="C710" s="50"/>
      <c r="D710" s="50"/>
      <c r="E710" s="50"/>
      <c r="F710" s="65"/>
      <c r="G710" s="50"/>
      <c r="H710" s="54"/>
      <c r="I710" s="55"/>
    </row>
    <row r="711" spans="1:9" s="4" customFormat="1">
      <c r="A711" s="64"/>
      <c r="B711" s="77"/>
      <c r="C711" s="50"/>
      <c r="D711" s="50"/>
      <c r="E711" s="50"/>
      <c r="F711" s="65"/>
      <c r="G711" s="50"/>
      <c r="H711" s="54"/>
      <c r="I711" s="55"/>
    </row>
    <row r="712" spans="1:9" s="4" customFormat="1">
      <c r="A712" s="64"/>
      <c r="B712" s="77"/>
      <c r="C712" s="50"/>
      <c r="D712" s="50"/>
      <c r="E712" s="50"/>
      <c r="F712" s="65"/>
      <c r="G712" s="50"/>
      <c r="H712" s="54"/>
      <c r="I712" s="55"/>
    </row>
    <row r="713" spans="1:9" s="4" customFormat="1">
      <c r="A713" s="64"/>
      <c r="B713" s="77"/>
      <c r="C713" s="50"/>
      <c r="D713" s="50"/>
      <c r="E713" s="50"/>
      <c r="F713" s="65"/>
      <c r="G713" s="50"/>
      <c r="H713" s="54"/>
      <c r="I713" s="55"/>
    </row>
    <row r="714" spans="1:9" s="4" customFormat="1">
      <c r="A714" s="64"/>
      <c r="B714" s="77"/>
      <c r="C714" s="50"/>
      <c r="D714" s="50"/>
      <c r="E714" s="50"/>
      <c r="F714" s="65"/>
      <c r="G714" s="50"/>
      <c r="H714" s="54"/>
      <c r="I714" s="55"/>
    </row>
    <row r="715" spans="1:9" s="4" customFormat="1">
      <c r="A715" s="64"/>
      <c r="B715" s="77"/>
      <c r="C715" s="50"/>
      <c r="D715" s="50"/>
      <c r="E715" s="50"/>
      <c r="F715" s="65"/>
      <c r="G715" s="50"/>
      <c r="H715" s="54"/>
      <c r="I715" s="55"/>
    </row>
    <row r="716" spans="1:9" s="4" customFormat="1">
      <c r="A716" s="64"/>
      <c r="B716" s="77"/>
      <c r="C716" s="50"/>
      <c r="D716" s="50"/>
      <c r="E716" s="50"/>
      <c r="F716" s="65"/>
      <c r="G716" s="50"/>
      <c r="H716" s="54"/>
      <c r="I716" s="55"/>
    </row>
    <row r="717" spans="1:9" s="4" customFormat="1">
      <c r="A717" s="82"/>
      <c r="B717" s="56"/>
      <c r="C717" s="56"/>
      <c r="D717" s="56"/>
      <c r="E717" s="56"/>
      <c r="F717" s="56"/>
      <c r="G717" s="56"/>
      <c r="H717" s="56"/>
      <c r="I717" s="56"/>
    </row>
    <row r="718" spans="1:9" s="4" customFormat="1">
      <c r="A718" s="36"/>
      <c r="B718" s="50"/>
      <c r="C718" s="50"/>
      <c r="D718" s="50"/>
      <c r="E718" s="50"/>
      <c r="F718" s="36"/>
      <c r="G718" s="36"/>
      <c r="H718" s="36"/>
      <c r="I718" s="36"/>
    </row>
    <row r="719" spans="1:9" s="4" customFormat="1">
      <c r="A719" s="36"/>
      <c r="B719" s="36"/>
      <c r="C719" s="78"/>
      <c r="D719" s="78"/>
      <c r="E719" s="79"/>
      <c r="F719" s="80"/>
      <c r="G719" s="78"/>
      <c r="H719" s="36"/>
      <c r="I719" s="81"/>
    </row>
    <row r="720" spans="1:9" s="4" customFormat="1" ht="12"/>
    <row r="721" spans="1:9" s="4" customFormat="1" ht="20.25">
      <c r="A721" s="66"/>
      <c r="B721" s="67"/>
      <c r="G721" s="57"/>
      <c r="H721" s="57"/>
      <c r="I721" s="57"/>
    </row>
    <row r="722" spans="1:9" s="4" customFormat="1" ht="20.25">
      <c r="A722" s="618"/>
      <c r="B722" s="668"/>
      <c r="C722" s="668"/>
      <c r="D722" s="381"/>
      <c r="E722" s="57"/>
      <c r="F722" s="57"/>
      <c r="G722" s="57"/>
      <c r="H722" s="57"/>
      <c r="I722" s="57"/>
    </row>
    <row r="723" spans="1:9" s="4" customFormat="1">
      <c r="A723" s="68"/>
      <c r="B723" s="68"/>
      <c r="C723" s="68"/>
      <c r="D723" s="68"/>
      <c r="E723" s="68"/>
      <c r="F723" s="68"/>
      <c r="G723" s="69"/>
      <c r="H723" s="69"/>
      <c r="I723" s="615"/>
    </row>
    <row r="724" spans="1:9" s="4" customFormat="1">
      <c r="A724" s="68"/>
      <c r="B724" s="68"/>
      <c r="C724" s="68"/>
      <c r="D724" s="68"/>
      <c r="E724" s="68"/>
      <c r="F724" s="68"/>
      <c r="G724" s="69"/>
      <c r="H724" s="69"/>
      <c r="I724" s="615"/>
    </row>
    <row r="725" spans="1:9" s="4" customFormat="1">
      <c r="A725" s="36"/>
      <c r="B725" s="36"/>
      <c r="C725" s="36"/>
      <c r="D725" s="36"/>
      <c r="E725" s="36"/>
      <c r="F725" s="36"/>
      <c r="G725" s="36"/>
      <c r="H725" s="50"/>
      <c r="I725" s="36"/>
    </row>
    <row r="726" spans="1:9" s="4" customFormat="1">
      <c r="A726" s="36"/>
      <c r="B726" s="36"/>
      <c r="C726" s="36"/>
      <c r="D726" s="36"/>
      <c r="E726" s="36"/>
      <c r="F726" s="36"/>
      <c r="G726" s="58"/>
      <c r="H726" s="70"/>
      <c r="I726" s="50"/>
    </row>
    <row r="727" spans="1:9" s="4" customFormat="1">
      <c r="A727" s="36"/>
      <c r="B727" s="36"/>
      <c r="C727" s="36"/>
      <c r="D727" s="36"/>
      <c r="E727" s="36"/>
      <c r="F727" s="36"/>
      <c r="G727" s="59"/>
      <c r="H727" s="70"/>
      <c r="I727" s="50"/>
    </row>
    <row r="728" spans="1:9" s="4" customFormat="1">
      <c r="A728" s="36"/>
      <c r="B728" s="36"/>
      <c r="C728" s="36"/>
      <c r="D728" s="36"/>
      <c r="E728" s="36"/>
      <c r="F728" s="36"/>
      <c r="G728" s="60"/>
      <c r="H728" s="70"/>
      <c r="I728" s="50"/>
    </row>
    <row r="729" spans="1:9" s="4" customFormat="1">
      <c r="A729" s="36"/>
      <c r="B729" s="36"/>
      <c r="C729" s="36"/>
      <c r="D729" s="36"/>
      <c r="E729" s="36"/>
      <c r="F729" s="36"/>
      <c r="G729" s="60"/>
      <c r="H729" s="70"/>
      <c r="I729" s="50"/>
    </row>
    <row r="730" spans="1:9" s="4" customFormat="1">
      <c r="A730" s="36"/>
      <c r="B730" s="36"/>
      <c r="C730" s="36"/>
      <c r="D730" s="36"/>
      <c r="E730" s="36"/>
      <c r="F730" s="36"/>
      <c r="G730" s="60"/>
      <c r="H730" s="70"/>
      <c r="I730" s="50"/>
    </row>
    <row r="731" spans="1:9" s="4" customFormat="1">
      <c r="A731" s="36"/>
      <c r="B731" s="36"/>
      <c r="C731" s="36"/>
      <c r="D731" s="36"/>
      <c r="E731" s="36"/>
      <c r="F731" s="36"/>
      <c r="G731" s="60"/>
      <c r="H731" s="70"/>
      <c r="I731" s="50"/>
    </row>
    <row r="732" spans="1:9" s="4" customFormat="1">
      <c r="A732" s="36"/>
      <c r="B732" s="36"/>
      <c r="C732" s="36"/>
      <c r="D732" s="36"/>
      <c r="E732" s="36"/>
      <c r="F732" s="36"/>
      <c r="G732" s="36"/>
      <c r="H732" s="36"/>
      <c r="I732" s="36"/>
    </row>
    <row r="733" spans="1:9" s="4" customFormat="1">
      <c r="A733" s="68"/>
      <c r="B733" s="68"/>
      <c r="C733" s="68"/>
      <c r="D733" s="68"/>
      <c r="E733" s="68"/>
      <c r="F733" s="68"/>
      <c r="G733" s="622"/>
      <c r="H733" s="71"/>
      <c r="I733" s="71"/>
    </row>
    <row r="734" spans="1:9" s="4" customFormat="1">
      <c r="A734" s="68"/>
      <c r="B734" s="68"/>
      <c r="C734" s="68"/>
      <c r="D734" s="68"/>
      <c r="E734" s="68"/>
      <c r="F734" s="68"/>
      <c r="G734" s="622"/>
      <c r="H734" s="71"/>
      <c r="I734" s="71"/>
    </row>
    <row r="735" spans="1:9" s="4" customFormat="1">
      <c r="A735" s="61"/>
      <c r="B735" s="36"/>
      <c r="C735" s="62"/>
      <c r="D735" s="62"/>
      <c r="E735" s="62"/>
      <c r="F735" s="36"/>
      <c r="G735" s="62"/>
      <c r="H735" s="72"/>
      <c r="I735" s="50"/>
    </row>
    <row r="736" spans="1:9" s="4" customFormat="1">
      <c r="A736" s="36"/>
      <c r="B736" s="36"/>
      <c r="C736" s="36"/>
      <c r="D736" s="36"/>
      <c r="E736" s="36"/>
      <c r="F736" s="36"/>
      <c r="G736" s="50"/>
      <c r="H736" s="50"/>
      <c r="I736" s="70"/>
    </row>
    <row r="737" spans="1:9" s="4" customFormat="1">
      <c r="A737" s="36"/>
      <c r="B737" s="36"/>
      <c r="C737" s="36"/>
      <c r="D737" s="36"/>
      <c r="E737" s="36"/>
      <c r="F737" s="36"/>
      <c r="G737" s="70"/>
      <c r="H737" s="50"/>
      <c r="I737" s="50"/>
    </row>
    <row r="738" spans="1:9" s="4" customFormat="1">
      <c r="A738" s="36"/>
      <c r="B738" s="36"/>
      <c r="C738" s="36"/>
      <c r="D738" s="36"/>
      <c r="E738" s="36"/>
      <c r="F738" s="36"/>
      <c r="G738" s="47"/>
      <c r="H738" s="50"/>
      <c r="I738" s="50"/>
    </row>
    <row r="739" spans="1:9" s="4" customFormat="1">
      <c r="A739" s="36"/>
      <c r="B739" s="36"/>
      <c r="C739" s="36"/>
      <c r="D739" s="36"/>
      <c r="E739" s="36"/>
      <c r="F739" s="36"/>
      <c r="G739" s="73"/>
      <c r="H739" s="50"/>
      <c r="I739" s="50"/>
    </row>
    <row r="740" spans="1:9" s="4" customFormat="1">
      <c r="A740" s="36"/>
      <c r="B740" s="36"/>
      <c r="C740" s="36"/>
      <c r="D740" s="36"/>
      <c r="E740" s="36"/>
      <c r="F740" s="50"/>
      <c r="G740" s="36"/>
      <c r="H740" s="36"/>
      <c r="I740" s="36"/>
    </row>
    <row r="741" spans="1:9" s="4" customFormat="1">
      <c r="A741" s="63"/>
      <c r="B741" s="36"/>
      <c r="C741" s="36"/>
      <c r="D741" s="36"/>
      <c r="E741" s="36"/>
      <c r="F741" s="50"/>
      <c r="G741" s="36"/>
      <c r="H741" s="36"/>
      <c r="I741" s="36"/>
    </row>
    <row r="742" spans="1:9" s="4" customFormat="1">
      <c r="A742" s="36"/>
      <c r="B742" s="74"/>
      <c r="C742" s="36"/>
      <c r="D742" s="36"/>
      <c r="E742" s="36"/>
      <c r="F742" s="36"/>
      <c r="G742" s="36"/>
      <c r="H742" s="36"/>
      <c r="I742" s="36"/>
    </row>
    <row r="743" spans="1:9" s="4" customFormat="1">
      <c r="A743" s="619"/>
      <c r="B743" s="380"/>
      <c r="C743" s="380"/>
      <c r="D743" s="380"/>
      <c r="E743" s="619"/>
      <c r="F743" s="619"/>
      <c r="G743" s="619"/>
      <c r="H743" s="619"/>
      <c r="I743" s="619"/>
    </row>
    <row r="744" spans="1:9" s="4" customFormat="1">
      <c r="A744" s="619"/>
      <c r="B744" s="380"/>
      <c r="C744" s="380"/>
      <c r="D744" s="380"/>
      <c r="E744" s="380"/>
      <c r="F744" s="380"/>
      <c r="G744" s="620"/>
      <c r="H744" s="620"/>
      <c r="I744" s="620"/>
    </row>
    <row r="745" spans="1:9" s="4" customFormat="1">
      <c r="A745" s="64"/>
      <c r="B745" s="76"/>
      <c r="C745" s="50"/>
      <c r="D745" s="50"/>
      <c r="E745" s="50"/>
      <c r="F745" s="65"/>
      <c r="G745" s="50"/>
      <c r="H745" s="50"/>
      <c r="I745" s="55"/>
    </row>
    <row r="746" spans="1:9" s="4" customFormat="1">
      <c r="A746" s="64"/>
      <c r="B746" s="76"/>
      <c r="C746" s="50"/>
      <c r="D746" s="50"/>
      <c r="E746" s="50"/>
      <c r="F746" s="65"/>
      <c r="G746" s="50"/>
      <c r="H746" s="54"/>
      <c r="I746" s="55"/>
    </row>
    <row r="747" spans="1:9" s="4" customFormat="1">
      <c r="A747" s="64"/>
      <c r="B747" s="76"/>
      <c r="C747" s="50"/>
      <c r="D747" s="50"/>
      <c r="E747" s="50"/>
      <c r="F747" s="65"/>
      <c r="G747" s="50"/>
      <c r="H747" s="54"/>
      <c r="I747" s="36"/>
    </row>
    <row r="748" spans="1:9" s="4" customFormat="1">
      <c r="A748" s="64"/>
      <c r="B748" s="76"/>
      <c r="C748" s="50"/>
      <c r="D748" s="50"/>
      <c r="E748" s="50"/>
      <c r="F748" s="65"/>
      <c r="G748" s="50"/>
      <c r="H748" s="54"/>
      <c r="I748" s="55"/>
    </row>
    <row r="749" spans="1:9" s="4" customFormat="1">
      <c r="A749" s="64"/>
      <c r="B749" s="77"/>
      <c r="C749" s="50"/>
      <c r="D749" s="50"/>
      <c r="E749" s="50"/>
      <c r="F749" s="65"/>
      <c r="G749" s="50"/>
      <c r="H749" s="54"/>
      <c r="I749" s="55"/>
    </row>
    <row r="750" spans="1:9" s="4" customFormat="1">
      <c r="A750" s="64"/>
      <c r="B750" s="77"/>
      <c r="C750" s="50"/>
      <c r="D750" s="50"/>
      <c r="E750" s="50"/>
      <c r="F750" s="65"/>
      <c r="G750" s="50"/>
      <c r="H750" s="54"/>
      <c r="I750" s="55"/>
    </row>
    <row r="751" spans="1:9" s="4" customFormat="1">
      <c r="A751" s="64"/>
      <c r="B751" s="77"/>
      <c r="C751" s="50"/>
      <c r="D751" s="50"/>
      <c r="E751" s="50"/>
      <c r="F751" s="65"/>
      <c r="G751" s="50"/>
      <c r="H751" s="54"/>
      <c r="I751" s="55"/>
    </row>
    <row r="752" spans="1:9" s="4" customFormat="1">
      <c r="A752" s="64"/>
      <c r="B752" s="77"/>
      <c r="C752" s="50"/>
      <c r="D752" s="50"/>
      <c r="E752" s="50"/>
      <c r="F752" s="65"/>
      <c r="G752" s="50"/>
      <c r="H752" s="54"/>
      <c r="I752" s="55"/>
    </row>
    <row r="753" spans="1:9" s="4" customFormat="1">
      <c r="A753" s="64"/>
      <c r="B753" s="77"/>
      <c r="C753" s="50"/>
      <c r="D753" s="50"/>
      <c r="E753" s="50"/>
      <c r="F753" s="65"/>
      <c r="G753" s="50"/>
      <c r="H753" s="54"/>
      <c r="I753" s="55"/>
    </row>
    <row r="754" spans="1:9" s="4" customFormat="1">
      <c r="A754" s="64"/>
      <c r="B754" s="77"/>
      <c r="C754" s="50"/>
      <c r="D754" s="50"/>
      <c r="E754" s="50"/>
      <c r="F754" s="65"/>
      <c r="G754" s="50"/>
      <c r="H754" s="54"/>
      <c r="I754" s="55"/>
    </row>
    <row r="755" spans="1:9" s="4" customFormat="1">
      <c r="A755" s="64"/>
      <c r="B755" s="77"/>
      <c r="C755" s="50"/>
      <c r="D755" s="50"/>
      <c r="E755" s="50"/>
      <c r="F755" s="65"/>
      <c r="G755" s="50"/>
      <c r="H755" s="54"/>
      <c r="I755" s="55"/>
    </row>
    <row r="756" spans="1:9" s="4" customFormat="1">
      <c r="A756" s="64"/>
      <c r="B756" s="77"/>
      <c r="C756" s="50"/>
      <c r="D756" s="50"/>
      <c r="E756" s="50"/>
      <c r="F756" s="65"/>
      <c r="G756" s="50"/>
      <c r="H756" s="54"/>
      <c r="I756" s="55"/>
    </row>
    <row r="757" spans="1:9" s="4" customFormat="1">
      <c r="A757" s="64"/>
      <c r="B757" s="77"/>
      <c r="C757" s="50"/>
      <c r="D757" s="50"/>
      <c r="E757" s="50"/>
      <c r="F757" s="65"/>
      <c r="G757" s="50"/>
      <c r="H757" s="54"/>
      <c r="I757" s="55"/>
    </row>
    <row r="758" spans="1:9" s="4" customFormat="1">
      <c r="A758" s="64"/>
      <c r="B758" s="77"/>
      <c r="C758" s="50"/>
      <c r="D758" s="50"/>
      <c r="E758" s="50"/>
      <c r="F758" s="65"/>
      <c r="G758" s="50"/>
      <c r="H758" s="54"/>
      <c r="I758" s="55"/>
    </row>
    <row r="759" spans="1:9" s="4" customFormat="1">
      <c r="A759" s="64"/>
      <c r="B759" s="77"/>
      <c r="C759" s="50"/>
      <c r="D759" s="50"/>
      <c r="E759" s="50"/>
      <c r="F759" s="65"/>
      <c r="G759" s="50"/>
      <c r="H759" s="54"/>
      <c r="I759" s="55"/>
    </row>
    <row r="760" spans="1:9" s="4" customFormat="1">
      <c r="A760" s="64"/>
      <c r="B760" s="77"/>
      <c r="C760" s="50"/>
      <c r="D760" s="50"/>
      <c r="E760" s="50"/>
      <c r="F760" s="65"/>
      <c r="G760" s="50"/>
      <c r="H760" s="54"/>
      <c r="I760" s="55"/>
    </row>
    <row r="761" spans="1:9" s="4" customFormat="1">
      <c r="A761" s="64"/>
      <c r="B761" s="77"/>
      <c r="C761" s="50"/>
      <c r="D761" s="50"/>
      <c r="E761" s="50"/>
      <c r="F761" s="65"/>
      <c r="G761" s="50"/>
      <c r="H761" s="54"/>
      <c r="I761" s="55"/>
    </row>
    <row r="762" spans="1:9" s="4" customFormat="1">
      <c r="A762" s="64"/>
      <c r="B762" s="77"/>
      <c r="C762" s="50"/>
      <c r="D762" s="50"/>
      <c r="E762" s="50"/>
      <c r="F762" s="65"/>
      <c r="G762" s="50"/>
      <c r="H762" s="54"/>
      <c r="I762" s="55"/>
    </row>
    <row r="763" spans="1:9" s="4" customFormat="1">
      <c r="A763" s="64"/>
      <c r="B763" s="77"/>
      <c r="C763" s="50"/>
      <c r="D763" s="50"/>
      <c r="E763" s="50"/>
      <c r="F763" s="65"/>
      <c r="G763" s="50"/>
      <c r="H763" s="54"/>
      <c r="I763" s="55"/>
    </row>
    <row r="764" spans="1:9" s="4" customFormat="1">
      <c r="A764" s="64"/>
      <c r="B764" s="77"/>
      <c r="C764" s="50"/>
      <c r="D764" s="50"/>
      <c r="E764" s="50"/>
      <c r="F764" s="65"/>
      <c r="G764" s="50"/>
      <c r="H764" s="54"/>
      <c r="I764" s="55"/>
    </row>
    <row r="765" spans="1:9" s="4" customFormat="1">
      <c r="A765" s="64"/>
      <c r="B765" s="77"/>
      <c r="C765" s="50"/>
      <c r="D765" s="50"/>
      <c r="E765" s="50"/>
      <c r="F765" s="65"/>
      <c r="G765" s="50"/>
      <c r="H765" s="54"/>
      <c r="I765" s="55"/>
    </row>
    <row r="766" spans="1:9" s="4" customFormat="1">
      <c r="A766" s="64"/>
      <c r="B766" s="77"/>
      <c r="C766" s="50"/>
      <c r="D766" s="50"/>
      <c r="E766" s="50"/>
      <c r="F766" s="65"/>
      <c r="G766" s="50"/>
      <c r="H766" s="54"/>
      <c r="I766" s="55"/>
    </row>
    <row r="767" spans="1:9" s="4" customFormat="1">
      <c r="A767" s="64"/>
      <c r="B767" s="77"/>
      <c r="C767" s="50"/>
      <c r="D767" s="50"/>
      <c r="E767" s="50"/>
      <c r="F767" s="65"/>
      <c r="G767" s="50"/>
      <c r="H767" s="54"/>
      <c r="I767" s="55"/>
    </row>
    <row r="768" spans="1:9" s="4" customFormat="1">
      <c r="A768" s="64"/>
      <c r="B768" s="77"/>
      <c r="C768" s="50"/>
      <c r="D768" s="50"/>
      <c r="E768" s="50"/>
      <c r="F768" s="65"/>
      <c r="G768" s="50"/>
      <c r="H768" s="54"/>
      <c r="I768" s="55"/>
    </row>
    <row r="769" spans="1:9" s="4" customFormat="1">
      <c r="A769" s="64"/>
      <c r="B769" s="77"/>
      <c r="C769" s="50"/>
      <c r="D769" s="50"/>
      <c r="E769" s="50"/>
      <c r="F769" s="65"/>
      <c r="G769" s="50"/>
      <c r="H769" s="54"/>
      <c r="I769" s="55"/>
    </row>
    <row r="770" spans="1:9" s="4" customFormat="1">
      <c r="A770" s="82"/>
      <c r="B770" s="56"/>
      <c r="C770" s="56"/>
      <c r="D770" s="56"/>
      <c r="E770" s="56"/>
      <c r="F770" s="56"/>
      <c r="G770" s="56"/>
      <c r="H770" s="56"/>
      <c r="I770" s="56"/>
    </row>
    <row r="771" spans="1:9" s="4" customFormat="1">
      <c r="A771" s="36"/>
      <c r="B771" s="50"/>
      <c r="C771" s="50"/>
      <c r="D771" s="50"/>
      <c r="E771" s="50"/>
      <c r="F771" s="36"/>
      <c r="G771" s="36"/>
      <c r="H771" s="36"/>
      <c r="I771" s="36"/>
    </row>
    <row r="772" spans="1:9" s="4" customFormat="1">
      <c r="A772" s="36"/>
      <c r="B772" s="36"/>
      <c r="C772" s="78"/>
      <c r="D772" s="78"/>
      <c r="E772" s="79"/>
      <c r="F772" s="80"/>
      <c r="G772" s="78"/>
      <c r="H772" s="36"/>
      <c r="I772" s="81"/>
    </row>
    <row r="773" spans="1:9" s="4" customFormat="1" ht="12"/>
  </sheetData>
  <mergeCells count="89">
    <mergeCell ref="A722:C722"/>
    <mergeCell ref="I723:I724"/>
    <mergeCell ref="G733:G734"/>
    <mergeCell ref="A743:A744"/>
    <mergeCell ref="E743:F743"/>
    <mergeCell ref="G743:G744"/>
    <mergeCell ref="H743:H744"/>
    <mergeCell ref="I743:I744"/>
    <mergeCell ref="A669:C669"/>
    <mergeCell ref="I670:I671"/>
    <mergeCell ref="G680:G681"/>
    <mergeCell ref="A690:A691"/>
    <mergeCell ref="E690:F690"/>
    <mergeCell ref="G690:G691"/>
    <mergeCell ref="H690:H691"/>
    <mergeCell ref="I690:I691"/>
    <mergeCell ref="A616:C616"/>
    <mergeCell ref="I617:I618"/>
    <mergeCell ref="G627:G628"/>
    <mergeCell ref="A637:A638"/>
    <mergeCell ref="E637:F637"/>
    <mergeCell ref="G637:G638"/>
    <mergeCell ref="H637:H638"/>
    <mergeCell ref="I637:I638"/>
    <mergeCell ref="A562:C562"/>
    <mergeCell ref="I563:I564"/>
    <mergeCell ref="G573:G574"/>
    <mergeCell ref="A583:A584"/>
    <mergeCell ref="E583:F583"/>
    <mergeCell ref="G583:G584"/>
    <mergeCell ref="H583:H584"/>
    <mergeCell ref="I583:I584"/>
    <mergeCell ref="A508:C508"/>
    <mergeCell ref="I509:I510"/>
    <mergeCell ref="G519:G520"/>
    <mergeCell ref="A529:A530"/>
    <mergeCell ref="E529:F529"/>
    <mergeCell ref="G529:G530"/>
    <mergeCell ref="H529:H530"/>
    <mergeCell ref="I529:I530"/>
    <mergeCell ref="A454:C454"/>
    <mergeCell ref="I455:I456"/>
    <mergeCell ref="G465:G466"/>
    <mergeCell ref="A475:A476"/>
    <mergeCell ref="E475:F475"/>
    <mergeCell ref="G475:G476"/>
    <mergeCell ref="H475:H476"/>
    <mergeCell ref="I475:I476"/>
    <mergeCell ref="A400:C400"/>
    <mergeCell ref="I401:I402"/>
    <mergeCell ref="G411:G412"/>
    <mergeCell ref="A421:A422"/>
    <mergeCell ref="E421:F421"/>
    <mergeCell ref="G421:G422"/>
    <mergeCell ref="H421:H422"/>
    <mergeCell ref="I421:I422"/>
    <mergeCell ref="A347:C347"/>
    <mergeCell ref="I348:I349"/>
    <mergeCell ref="G358:G359"/>
    <mergeCell ref="A368:A369"/>
    <mergeCell ref="E368:F368"/>
    <mergeCell ref="G368:G369"/>
    <mergeCell ref="H368:H369"/>
    <mergeCell ref="I368:I369"/>
    <mergeCell ref="H259:H260"/>
    <mergeCell ref="I259:I260"/>
    <mergeCell ref="I293:I294"/>
    <mergeCell ref="G303:G304"/>
    <mergeCell ref="A313:A314"/>
    <mergeCell ref="E313:F313"/>
    <mergeCell ref="G313:G314"/>
    <mergeCell ref="H313:H314"/>
    <mergeCell ref="I313:I314"/>
    <mergeCell ref="A292:C292"/>
    <mergeCell ref="A259:A260"/>
    <mergeCell ref="E259:F259"/>
    <mergeCell ref="G259:G260"/>
    <mergeCell ref="O3:P3"/>
    <mergeCell ref="Q3:R3"/>
    <mergeCell ref="S3:T3"/>
    <mergeCell ref="A238:C238"/>
    <mergeCell ref="I239:I240"/>
    <mergeCell ref="K3:L3"/>
    <mergeCell ref="M3:N3"/>
    <mergeCell ref="G249:G250"/>
    <mergeCell ref="B3:C3"/>
    <mergeCell ref="E3:F3"/>
    <mergeCell ref="G3:H3"/>
    <mergeCell ref="I3:J3"/>
  </mergeCells>
  <pageMargins left="0.75" right="0.75" top="1" bottom="1" header="0.5" footer="0.5"/>
  <pageSetup paperSize="8" scale="30" pageOrder="overThenDown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AI773"/>
  <sheetViews>
    <sheetView showGridLines="0" zoomScaleNormal="100" workbookViewId="0">
      <pane ySplit="5" topLeftCell="A6" activePane="bottomLeft" state="frozen"/>
      <selection pane="bottomLeft"/>
    </sheetView>
  </sheetViews>
  <sheetFormatPr defaultRowHeight="12.75" outlineLevelCol="1"/>
  <cols>
    <col min="1" max="1" width="10.42578125" bestFit="1" customWidth="1"/>
    <col min="2" max="2" width="57.7109375" style="24" customWidth="1"/>
    <col min="3" max="3" width="11.42578125" style="25" bestFit="1" customWidth="1"/>
    <col min="4" max="4" width="10.5703125" style="25" bestFit="1" customWidth="1"/>
    <col min="5" max="5" width="14.42578125" bestFit="1" customWidth="1"/>
    <col min="6" max="7" width="12.28515625" customWidth="1"/>
    <col min="8" max="8" width="11.85546875" customWidth="1"/>
    <col min="9" max="9" width="12.28515625" customWidth="1"/>
    <col min="10" max="13" width="12.28515625" customWidth="1" outlineLevel="1"/>
    <col min="14" max="14" width="12.28515625" customWidth="1"/>
    <col min="15" max="18" width="12.28515625" customWidth="1" outlineLevel="1"/>
    <col min="19" max="19" width="12.28515625" customWidth="1"/>
    <col min="20" max="20" width="12.28515625" customWidth="1" outlineLevel="1"/>
  </cols>
  <sheetData>
    <row r="2" spans="1:21">
      <c r="E2" s="168">
        <v>0</v>
      </c>
      <c r="F2" s="168">
        <f t="shared" ref="F2:T2" si="0">E2+1</f>
        <v>1</v>
      </c>
      <c r="G2" s="168">
        <f t="shared" si="0"/>
        <v>2</v>
      </c>
      <c r="H2" s="168">
        <f t="shared" si="0"/>
        <v>3</v>
      </c>
      <c r="I2" s="168">
        <f t="shared" si="0"/>
        <v>4</v>
      </c>
      <c r="J2" s="168">
        <f t="shared" si="0"/>
        <v>5</v>
      </c>
      <c r="K2" s="168">
        <f t="shared" si="0"/>
        <v>6</v>
      </c>
      <c r="L2" s="168">
        <f t="shared" si="0"/>
        <v>7</v>
      </c>
      <c r="M2" s="168">
        <f t="shared" si="0"/>
        <v>8</v>
      </c>
      <c r="N2" s="168">
        <f t="shared" si="0"/>
        <v>9</v>
      </c>
      <c r="O2" s="168">
        <f t="shared" si="0"/>
        <v>10</v>
      </c>
      <c r="P2" s="168">
        <f t="shared" si="0"/>
        <v>11</v>
      </c>
      <c r="Q2" s="168">
        <f t="shared" si="0"/>
        <v>12</v>
      </c>
      <c r="R2" s="168">
        <f t="shared" si="0"/>
        <v>13</v>
      </c>
      <c r="S2" s="168">
        <f t="shared" si="0"/>
        <v>14</v>
      </c>
      <c r="T2" s="168">
        <f t="shared" si="0"/>
        <v>15</v>
      </c>
    </row>
    <row r="3" spans="1:21">
      <c r="A3" s="1"/>
      <c r="B3" s="667" t="s">
        <v>441</v>
      </c>
      <c r="C3" s="667"/>
      <c r="D3" s="458"/>
      <c r="E3" s="667"/>
      <c r="F3" s="667"/>
      <c r="G3" s="667"/>
      <c r="H3" s="667"/>
      <c r="I3" s="667"/>
      <c r="J3" s="667"/>
      <c r="K3" s="667"/>
      <c r="L3" s="667"/>
      <c r="M3" s="667"/>
      <c r="N3" s="667"/>
      <c r="O3" s="667"/>
      <c r="P3" s="667"/>
      <c r="Q3" s="667"/>
      <c r="R3" s="667"/>
      <c r="S3" s="667"/>
      <c r="T3" s="667"/>
      <c r="U3" s="1"/>
    </row>
    <row r="4" spans="1:21">
      <c r="A4" s="1"/>
      <c r="B4" s="100"/>
      <c r="C4" s="84"/>
      <c r="D4" s="84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"/>
    </row>
    <row r="5" spans="1:21">
      <c r="A5" s="1"/>
      <c r="B5" s="295" t="s">
        <v>13</v>
      </c>
      <c r="C5" s="296" t="s">
        <v>241</v>
      </c>
      <c r="D5" s="296" t="s">
        <v>15</v>
      </c>
      <c r="E5" s="297">
        <f>Założenia!E6</f>
        <v>2021</v>
      </c>
      <c r="F5" s="298">
        <f t="shared" ref="F5:T5" si="1">E5+1</f>
        <v>2022</v>
      </c>
      <c r="G5" s="298">
        <f t="shared" si="1"/>
        <v>2023</v>
      </c>
      <c r="H5" s="298">
        <f t="shared" si="1"/>
        <v>2024</v>
      </c>
      <c r="I5" s="298">
        <f t="shared" si="1"/>
        <v>2025</v>
      </c>
      <c r="J5" s="298">
        <f t="shared" si="1"/>
        <v>2026</v>
      </c>
      <c r="K5" s="298">
        <f t="shared" si="1"/>
        <v>2027</v>
      </c>
      <c r="L5" s="298">
        <f t="shared" si="1"/>
        <v>2028</v>
      </c>
      <c r="M5" s="298">
        <f t="shared" si="1"/>
        <v>2029</v>
      </c>
      <c r="N5" s="298">
        <f t="shared" si="1"/>
        <v>2030</v>
      </c>
      <c r="O5" s="298">
        <f t="shared" si="1"/>
        <v>2031</v>
      </c>
      <c r="P5" s="298">
        <f t="shared" si="1"/>
        <v>2032</v>
      </c>
      <c r="Q5" s="298">
        <f t="shared" si="1"/>
        <v>2033</v>
      </c>
      <c r="R5" s="298">
        <f t="shared" si="1"/>
        <v>2034</v>
      </c>
      <c r="S5" s="298">
        <f t="shared" si="1"/>
        <v>2035</v>
      </c>
      <c r="T5" s="298">
        <f t="shared" si="1"/>
        <v>2036</v>
      </c>
      <c r="U5" s="1"/>
    </row>
    <row r="6" spans="1:21">
      <c r="A6" s="1"/>
      <c r="B6" s="100"/>
      <c r="C6" s="84"/>
      <c r="D6" s="8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>
      <c r="A7" s="1"/>
      <c r="B7" s="100"/>
      <c r="C7" s="84"/>
      <c r="D7" s="84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"/>
    </row>
    <row r="8" spans="1:21" s="1" customFormat="1" ht="12">
      <c r="A8" s="269" t="s">
        <v>248</v>
      </c>
      <c r="B8" s="95" t="s">
        <v>276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1" s="26" customFormat="1">
      <c r="A9" s="108" t="s">
        <v>34</v>
      </c>
      <c r="B9" s="299" t="s">
        <v>299</v>
      </c>
      <c r="C9" s="214" t="s">
        <v>0</v>
      </c>
      <c r="D9" s="300"/>
      <c r="E9" s="125">
        <f>przychody!D7*1000000</f>
        <v>9037074.8387096804</v>
      </c>
      <c r="F9" s="125">
        <f>przychody!E7*1000000</f>
        <v>8513112.9032258075</v>
      </c>
      <c r="G9" s="125">
        <f>przychody!F7*1000000</f>
        <v>5613484.5161290327</v>
      </c>
      <c r="H9" s="125">
        <f>przychody!G7*1000000</f>
        <v>6366641.7773626596</v>
      </c>
      <c r="I9" s="125">
        <f>przychody!H7*1000000</f>
        <v>6742273.0504320581</v>
      </c>
      <c r="J9" s="125">
        <f>przychody!I7*1000000</f>
        <v>6986859.2351436988</v>
      </c>
      <c r="K9" s="125">
        <f>przychody!J7*1000000</f>
        <v>7154077.3085194221</v>
      </c>
      <c r="L9" s="125">
        <f>przychody!K7*1000000</f>
        <v>7269297.0262742862</v>
      </c>
      <c r="M9" s="125">
        <f>przychody!L7*1000000</f>
        <v>7423897.9180176072</v>
      </c>
      <c r="N9" s="125">
        <f>przychody!M7*1000000</f>
        <v>7553249.9995176541</v>
      </c>
      <c r="O9" s="125">
        <f>przychody!N7*1000000</f>
        <v>7662689.2755108653</v>
      </c>
      <c r="P9" s="125">
        <f>przychody!O7*1000000</f>
        <v>7755956.4678226411</v>
      </c>
      <c r="Q9" s="125">
        <f>przychody!P7*1000000</f>
        <v>7835783.7634866256</v>
      </c>
      <c r="R9" s="125">
        <f>przychody!Q7*1000000</f>
        <v>7958875.8729463294</v>
      </c>
      <c r="S9" s="125">
        <f>przychody!R7*1000000</f>
        <v>7958875.8729463294</v>
      </c>
      <c r="T9" s="125">
        <f>przychody!S7*1000000</f>
        <v>7958875.8729463294</v>
      </c>
      <c r="U9" s="13"/>
    </row>
    <row r="10" spans="1:21" s="26" customFormat="1">
      <c r="A10" s="108" t="s">
        <v>35</v>
      </c>
      <c r="B10" s="299" t="s">
        <v>75</v>
      </c>
      <c r="C10" s="214" t="s">
        <v>0</v>
      </c>
      <c r="D10" s="300"/>
      <c r="E10" s="125">
        <f t="shared" ref="E10:T10" si="2">E11+E40</f>
        <v>12298792.646329261</v>
      </c>
      <c r="F10" s="125">
        <f t="shared" si="2"/>
        <v>12356361.832291126</v>
      </c>
      <c r="G10" s="125">
        <f t="shared" si="2"/>
        <v>12411655.320090674</v>
      </c>
      <c r="H10" s="125">
        <f t="shared" si="2"/>
        <v>12466948.807890221</v>
      </c>
      <c r="I10" s="125">
        <f t="shared" si="2"/>
        <v>12522242.295689765</v>
      </c>
      <c r="J10" s="125">
        <f t="shared" si="2"/>
        <v>12577535.783489313</v>
      </c>
      <c r="K10" s="125">
        <f t="shared" si="2"/>
        <v>12658829.271288861</v>
      </c>
      <c r="L10" s="125">
        <f t="shared" si="2"/>
        <v>12261940.275246721</v>
      </c>
      <c r="M10" s="125">
        <f t="shared" si="2"/>
        <v>12312336.153385259</v>
      </c>
      <c r="N10" s="125">
        <f t="shared" si="2"/>
        <v>12362732.031523798</v>
      </c>
      <c r="O10" s="125">
        <f t="shared" si="2"/>
        <v>12413127.909662336</v>
      </c>
      <c r="P10" s="125">
        <f t="shared" si="2"/>
        <v>12463523.787800878</v>
      </c>
      <c r="Q10" s="125">
        <f t="shared" si="2"/>
        <v>12513919.665939417</v>
      </c>
      <c r="R10" s="125">
        <f t="shared" si="2"/>
        <v>12564315.544077955</v>
      </c>
      <c r="S10" s="125">
        <f t="shared" si="2"/>
        <v>12614711.422216494</v>
      </c>
      <c r="T10" s="125">
        <f t="shared" si="2"/>
        <v>12389773.722232282</v>
      </c>
      <c r="U10" s="13"/>
    </row>
    <row r="11" spans="1:21" s="26" customFormat="1">
      <c r="A11" s="108" t="s">
        <v>375</v>
      </c>
      <c r="B11" s="299" t="s">
        <v>374</v>
      </c>
      <c r="C11" s="214" t="s">
        <v>0</v>
      </c>
      <c r="D11" s="300"/>
      <c r="E11" s="125">
        <f>E12+E33+E35+E36+E37+E34</f>
        <v>10950076.108431185</v>
      </c>
      <c r="F11" s="125">
        <f t="shared" ref="F11:T11" si="3">F12+F33+F35+F36+F37+F34</f>
        <v>11007645.294393051</v>
      </c>
      <c r="G11" s="125">
        <f t="shared" si="3"/>
        <v>11062938.782192597</v>
      </c>
      <c r="H11" s="125">
        <f t="shared" si="3"/>
        <v>11118232.269992145</v>
      </c>
      <c r="I11" s="125">
        <f t="shared" si="3"/>
        <v>11173525.757791691</v>
      </c>
      <c r="J11" s="125">
        <f t="shared" si="3"/>
        <v>11228819.245591238</v>
      </c>
      <c r="K11" s="125">
        <f t="shared" si="3"/>
        <v>11310112.733390786</v>
      </c>
      <c r="L11" s="125">
        <f t="shared" si="3"/>
        <v>10913223.737348646</v>
      </c>
      <c r="M11" s="125">
        <f t="shared" si="3"/>
        <v>10963619.615487184</v>
      </c>
      <c r="N11" s="125">
        <f t="shared" si="3"/>
        <v>11014015.493625723</v>
      </c>
      <c r="O11" s="125">
        <f t="shared" si="3"/>
        <v>11064411.371764261</v>
      </c>
      <c r="P11" s="125">
        <f t="shared" si="3"/>
        <v>11114807.249902802</v>
      </c>
      <c r="Q11" s="125">
        <f t="shared" si="3"/>
        <v>11165203.12804134</v>
      </c>
      <c r="R11" s="125">
        <f t="shared" si="3"/>
        <v>11215599.006179878</v>
      </c>
      <c r="S11" s="125">
        <f t="shared" si="3"/>
        <v>11265994.884318417</v>
      </c>
      <c r="T11" s="125">
        <f t="shared" si="3"/>
        <v>11041057.184334207</v>
      </c>
      <c r="U11" s="13"/>
    </row>
    <row r="12" spans="1:21" s="13" customFormat="1" ht="12">
      <c r="A12" s="108" t="s">
        <v>49</v>
      </c>
      <c r="B12" s="118" t="s">
        <v>80</v>
      </c>
      <c r="C12" s="301" t="s">
        <v>0</v>
      </c>
      <c r="D12" s="302"/>
      <c r="E12" s="22">
        <f t="shared" ref="E12:T12" si="4">E13+E15+E24</f>
        <v>2210847.2693271409</v>
      </c>
      <c r="F12" s="22">
        <f t="shared" si="4"/>
        <v>2233758.494420765</v>
      </c>
      <c r="G12" s="22">
        <f t="shared" si="4"/>
        <v>2254957.0614370648</v>
      </c>
      <c r="H12" s="22">
        <f t="shared" si="4"/>
        <v>2276155.6284533646</v>
      </c>
      <c r="I12" s="22">
        <f t="shared" si="4"/>
        <v>2297354.1954696649</v>
      </c>
      <c r="J12" s="22">
        <f t="shared" si="4"/>
        <v>2318552.7624859652</v>
      </c>
      <c r="K12" s="22">
        <f t="shared" si="4"/>
        <v>2339751.329502265</v>
      </c>
      <c r="L12" s="22">
        <f t="shared" si="4"/>
        <v>2179029.6827343716</v>
      </c>
      <c r="M12" s="22">
        <f t="shared" si="4"/>
        <v>2198350.5909024011</v>
      </c>
      <c r="N12" s="22">
        <f t="shared" si="4"/>
        <v>2217671.4990704306</v>
      </c>
      <c r="O12" s="22">
        <f t="shared" si="4"/>
        <v>2236992.4072384601</v>
      </c>
      <c r="P12" s="22">
        <f t="shared" si="4"/>
        <v>2256313.3154064901</v>
      </c>
      <c r="Q12" s="22">
        <f t="shared" si="4"/>
        <v>2275634.2235745192</v>
      </c>
      <c r="R12" s="22">
        <f t="shared" si="4"/>
        <v>2294955.1317425491</v>
      </c>
      <c r="S12" s="22">
        <f t="shared" si="4"/>
        <v>2314276.0399105786</v>
      </c>
      <c r="T12" s="22">
        <f t="shared" si="4"/>
        <v>2228038.8156483979</v>
      </c>
    </row>
    <row r="13" spans="1:21" s="1" customFormat="1" ht="12">
      <c r="A13" s="96" t="s">
        <v>56</v>
      </c>
      <c r="B13" s="109" t="s">
        <v>277</v>
      </c>
      <c r="C13" s="214" t="s">
        <v>0</v>
      </c>
      <c r="D13" s="300"/>
      <c r="E13" s="23">
        <f>Założenia!$E$213+E14</f>
        <v>138358</v>
      </c>
      <c r="F13" s="23">
        <f>Założenia!$E$213+F14</f>
        <v>138358</v>
      </c>
      <c r="G13" s="23">
        <f>Założenia!$E$213+G14</f>
        <v>138358</v>
      </c>
      <c r="H13" s="23">
        <f>Założenia!$E$213+H14</f>
        <v>138358</v>
      </c>
      <c r="I13" s="23">
        <f>Założenia!$E$213+I14</f>
        <v>138358</v>
      </c>
      <c r="J13" s="23">
        <f>Założenia!$E$213+J14</f>
        <v>138358</v>
      </c>
      <c r="K13" s="23">
        <f>Założenia!$E$213+K14</f>
        <v>138358</v>
      </c>
      <c r="L13" s="23">
        <f>Założenia!$E$213+L14</f>
        <v>614988.70000000007</v>
      </c>
      <c r="M13" s="23">
        <f>Założenia!$E$213+M14</f>
        <v>614988.70000000007</v>
      </c>
      <c r="N13" s="23">
        <f>Założenia!$E$213+N14</f>
        <v>614988.70000000007</v>
      </c>
      <c r="O13" s="23">
        <f>Założenia!$E$213+O14</f>
        <v>614988.70000000007</v>
      </c>
      <c r="P13" s="23">
        <f>Założenia!$E$213+P14</f>
        <v>614988.70000000007</v>
      </c>
      <c r="Q13" s="23">
        <f>Założenia!$E$213+Q14</f>
        <v>614988.70000000007</v>
      </c>
      <c r="R13" s="23">
        <f>Założenia!$E$213+R14</f>
        <v>614988.70000000007</v>
      </c>
      <c r="S13" s="23">
        <f>Założenia!$E$213+S14</f>
        <v>614988.70000000007</v>
      </c>
      <c r="T13" s="23">
        <f>Założenia!$E$213+T14</f>
        <v>614988.70000000007</v>
      </c>
    </row>
    <row r="14" spans="1:21" s="28" customFormat="1" ht="12">
      <c r="A14" s="96"/>
      <c r="B14" s="109" t="s">
        <v>228</v>
      </c>
      <c r="C14" s="214" t="s">
        <v>0</v>
      </c>
      <c r="D14" s="300"/>
      <c r="E14" s="23">
        <f>Założenia!D341*Założenia!D352*Założenia!$E$185*Założenia!$E$176*(1+Założenia!$E$121)</f>
        <v>0</v>
      </c>
      <c r="F14" s="23">
        <f>Założenia!E341*Założenia!E352*Założenia!$E$185*Założenia!$E$176*(1+Założenia!$E$121)</f>
        <v>0</v>
      </c>
      <c r="G14" s="23">
        <f>Założenia!F341*Założenia!F352*Założenia!$E$185*Założenia!$E$176*(1+Założenia!$E$121)</f>
        <v>0</v>
      </c>
      <c r="H14" s="23">
        <f>Założenia!G341*Założenia!G352*Założenia!$E$185*Założenia!$E$176*(1+Założenia!$E$121)</f>
        <v>0</v>
      </c>
      <c r="I14" s="23">
        <f>Założenia!H341*Założenia!H352*Założenia!$E$185*Założenia!$E$176*(1+Założenia!$E$121)</f>
        <v>0</v>
      </c>
      <c r="J14" s="23">
        <f>Założenia!I341*Założenia!I352*Założenia!$E$185*Założenia!$E$176*(1+Założenia!$E$121)</f>
        <v>0</v>
      </c>
      <c r="K14" s="23">
        <f>Założenia!J341*Założenia!J352*Założenia!$E$185*Założenia!$E$176*(1+Założenia!$E$121)</f>
        <v>0</v>
      </c>
      <c r="L14" s="23">
        <f>Założenia!K341*Założenia!K352*Założenia!$E$185*Założenia!$E$176*(1+Założenia!$E$121)</f>
        <v>476630.70000000007</v>
      </c>
      <c r="M14" s="23">
        <f>Założenia!L341*Założenia!L352*Założenia!$E$185*Założenia!$E$176*(1+Założenia!$E$121)</f>
        <v>476630.70000000007</v>
      </c>
      <c r="N14" s="23">
        <f>Założenia!M341*Założenia!M352*Założenia!$E$185*Założenia!$E$176*(1+Założenia!$E$121)</f>
        <v>476630.70000000007</v>
      </c>
      <c r="O14" s="23">
        <f>Założenia!N341*Założenia!N352*Założenia!$E$185*Założenia!$E$176*(1+Założenia!$E$121)</f>
        <v>476630.70000000007</v>
      </c>
      <c r="P14" s="23">
        <f>Założenia!O341*Założenia!O352*Założenia!$E$185*Założenia!$E$176*(1+Założenia!$E$121)</f>
        <v>476630.70000000007</v>
      </c>
      <c r="Q14" s="23">
        <f>Założenia!P341*Założenia!P352*Założenia!$E$185*Założenia!$E$176*(1+Założenia!$E$121)</f>
        <v>476630.70000000007</v>
      </c>
      <c r="R14" s="23">
        <f>Założenia!Q341*Założenia!Q352*Założenia!$E$185*Założenia!$E$176*(1+Założenia!$E$121)</f>
        <v>476630.70000000007</v>
      </c>
      <c r="S14" s="23">
        <f>Założenia!R341*Założenia!R352*Założenia!$E$185*Założenia!$E$176*(1+Założenia!$E$121)</f>
        <v>476630.70000000007</v>
      </c>
      <c r="T14" s="23">
        <f>Założenia!S341*Założenia!S352*Założenia!$E$185*Założenia!$E$176*(1+Założenia!$E$121)</f>
        <v>476630.70000000007</v>
      </c>
      <c r="U14" s="1"/>
    </row>
    <row r="15" spans="1:21" s="1" customFormat="1" ht="12">
      <c r="A15" s="96" t="s">
        <v>57</v>
      </c>
      <c r="B15" s="109" t="s">
        <v>211</v>
      </c>
      <c r="C15" s="214" t="s">
        <v>0</v>
      </c>
      <c r="D15" s="300"/>
      <c r="E15" s="23">
        <f>E16</f>
        <v>1648868</v>
      </c>
      <c r="F15" s="23">
        <f t="shared" ref="F15:T15" si="5">F16</f>
        <v>1650230.5870784642</v>
      </c>
      <c r="G15" s="23">
        <f t="shared" si="5"/>
        <v>1650230.5870784642</v>
      </c>
      <c r="H15" s="23">
        <f t="shared" si="5"/>
        <v>1650230.5870784642</v>
      </c>
      <c r="I15" s="23">
        <f t="shared" si="5"/>
        <v>1650230.5870784642</v>
      </c>
      <c r="J15" s="23">
        <f t="shared" si="5"/>
        <v>1650230.5870784642</v>
      </c>
      <c r="K15" s="23">
        <f t="shared" si="5"/>
        <v>1650230.5870784642</v>
      </c>
      <c r="L15" s="23">
        <f t="shared" si="5"/>
        <v>1159715.6361936564</v>
      </c>
      <c r="M15" s="23">
        <f t="shared" si="5"/>
        <v>1159715.6361936564</v>
      </c>
      <c r="N15" s="23">
        <f t="shared" si="5"/>
        <v>1159715.6361936564</v>
      </c>
      <c r="O15" s="23">
        <f t="shared" si="5"/>
        <v>1159715.6361936564</v>
      </c>
      <c r="P15" s="23">
        <f t="shared" si="5"/>
        <v>1159715.6361936564</v>
      </c>
      <c r="Q15" s="23">
        <f t="shared" si="5"/>
        <v>1159715.6361936564</v>
      </c>
      <c r="R15" s="23">
        <f t="shared" si="5"/>
        <v>1159715.6361936564</v>
      </c>
      <c r="S15" s="23">
        <f t="shared" si="5"/>
        <v>1159715.6361936564</v>
      </c>
      <c r="T15" s="23">
        <f t="shared" si="5"/>
        <v>1159715.6361936564</v>
      </c>
    </row>
    <row r="16" spans="1:21" s="1" customFormat="1" ht="12">
      <c r="A16" s="96" t="s">
        <v>348</v>
      </c>
      <c r="B16" s="109" t="s">
        <v>343</v>
      </c>
      <c r="C16" s="214" t="s">
        <v>0</v>
      </c>
      <c r="D16" s="300"/>
      <c r="E16" s="23">
        <f>SUM(E17:E23)</f>
        <v>1648868</v>
      </c>
      <c r="F16" s="23">
        <f t="shared" ref="F16:T16" si="6">SUM(F17:F23)</f>
        <v>1650230.5870784642</v>
      </c>
      <c r="G16" s="23">
        <f t="shared" si="6"/>
        <v>1650230.5870784642</v>
      </c>
      <c r="H16" s="23">
        <f t="shared" si="6"/>
        <v>1650230.5870784642</v>
      </c>
      <c r="I16" s="23">
        <f t="shared" si="6"/>
        <v>1650230.5870784642</v>
      </c>
      <c r="J16" s="23">
        <f t="shared" si="6"/>
        <v>1650230.5870784642</v>
      </c>
      <c r="K16" s="23">
        <f t="shared" si="6"/>
        <v>1650230.5870784642</v>
      </c>
      <c r="L16" s="23">
        <f t="shared" si="6"/>
        <v>1159715.6361936564</v>
      </c>
      <c r="M16" s="23">
        <f t="shared" si="6"/>
        <v>1159715.6361936564</v>
      </c>
      <c r="N16" s="23">
        <f t="shared" si="6"/>
        <v>1159715.6361936564</v>
      </c>
      <c r="O16" s="23">
        <f t="shared" si="6"/>
        <v>1159715.6361936564</v>
      </c>
      <c r="P16" s="23">
        <f t="shared" si="6"/>
        <v>1159715.6361936564</v>
      </c>
      <c r="Q16" s="23">
        <f t="shared" si="6"/>
        <v>1159715.6361936564</v>
      </c>
      <c r="R16" s="23">
        <f t="shared" si="6"/>
        <v>1159715.6361936564</v>
      </c>
      <c r="S16" s="23">
        <f t="shared" si="6"/>
        <v>1159715.6361936564</v>
      </c>
      <c r="T16" s="23">
        <f t="shared" si="6"/>
        <v>1159715.6361936564</v>
      </c>
    </row>
    <row r="17" spans="1:20" s="1" customFormat="1" ht="12">
      <c r="A17" s="96"/>
      <c r="B17" s="109" t="s">
        <v>426</v>
      </c>
      <c r="C17" s="214" t="s">
        <v>0</v>
      </c>
      <c r="D17" s="300"/>
      <c r="E17" s="23">
        <f>(Założenia!D334*Założenia!D350*Założenia!$G53/100)*Założenia!$E$175</f>
        <v>0</v>
      </c>
      <c r="F17" s="23">
        <f>(Założenia!E334*Założenia!E350*Założenia!$G53/100)*Założenia!$E$175</f>
        <v>0</v>
      </c>
      <c r="G17" s="23">
        <f>(Założenia!F334*Założenia!F350*Założenia!$G53/100)*Założenia!$E$175</f>
        <v>0</v>
      </c>
      <c r="H17" s="23">
        <f>(Założenia!G334*Założenia!G350*Założenia!$G53/100)*Założenia!$E$175</f>
        <v>0</v>
      </c>
      <c r="I17" s="23">
        <f>(Założenia!H334*Założenia!H350*Założenia!$G53/100)*Założenia!$E$175</f>
        <v>0</v>
      </c>
      <c r="J17" s="23">
        <f>(Założenia!I334*Założenia!I350*Założenia!$G53/100)*Założenia!$E$175</f>
        <v>0</v>
      </c>
      <c r="K17" s="23">
        <f>(Założenia!J334*Założenia!J350*Założenia!$G53/100)*Założenia!$E$175</f>
        <v>0</v>
      </c>
      <c r="L17" s="23">
        <f>(Założenia!K334*Założenia!K350*Założenia!$G53/100)*Założenia!$E$175</f>
        <v>0</v>
      </c>
      <c r="M17" s="23">
        <f>(Założenia!L334*Założenia!L350*Założenia!$G53/100)*Założenia!$E$175</f>
        <v>0</v>
      </c>
      <c r="N17" s="23">
        <f>(Założenia!M334*Założenia!M350*Założenia!$G53/100)*Założenia!$E$175</f>
        <v>0</v>
      </c>
      <c r="O17" s="23">
        <f>(Założenia!N334*Założenia!N350*Założenia!$G53/100)*Założenia!$E$175</f>
        <v>0</v>
      </c>
      <c r="P17" s="23">
        <f>(Założenia!O334*Założenia!O350*Założenia!$G53/100)*Założenia!$E$175</f>
        <v>0</v>
      </c>
      <c r="Q17" s="23">
        <f>(Założenia!P334*Założenia!P350*Założenia!$G53/100)*Założenia!$E$175</f>
        <v>0</v>
      </c>
      <c r="R17" s="23">
        <f>(Założenia!Q334*Założenia!Q350*Założenia!$G53/100)*Założenia!$E$175</f>
        <v>0</v>
      </c>
      <c r="S17" s="23">
        <f>(Założenia!R334*Założenia!R350*Założenia!$G53/100)*Założenia!$E$175</f>
        <v>0</v>
      </c>
      <c r="T17" s="23">
        <f>(Założenia!S334*Założenia!S350*Założenia!$G53/100)*Założenia!$E$175</f>
        <v>0</v>
      </c>
    </row>
    <row r="18" spans="1:20" s="1" customFormat="1" ht="12">
      <c r="A18" s="96"/>
      <c r="B18" s="109" t="s">
        <v>432</v>
      </c>
      <c r="C18" s="214" t="s">
        <v>0</v>
      </c>
      <c r="D18" s="300"/>
      <c r="E18" s="23">
        <f>(Założenia!D335*Założenia!D350*Założenia!$G54/100)*Założenia!$E$175</f>
        <v>0</v>
      </c>
      <c r="F18" s="23">
        <f>(Założenia!E335*Założenia!E350*Założenia!$G54/100)*Założenia!$E$175</f>
        <v>0</v>
      </c>
      <c r="G18" s="23">
        <f>(Założenia!F335*Założenia!F350*Założenia!$G54/100)*Założenia!$E$175</f>
        <v>0</v>
      </c>
      <c r="H18" s="23">
        <f>(Założenia!G335*Założenia!G350*Założenia!$G54/100)*Założenia!$E$175</f>
        <v>0</v>
      </c>
      <c r="I18" s="23">
        <f>(Założenia!H335*Założenia!H350*Założenia!$G54/100)*Założenia!$E$175</f>
        <v>0</v>
      </c>
      <c r="J18" s="23">
        <f>(Założenia!I335*Założenia!I350*Założenia!$G54/100)*Założenia!$E$175</f>
        <v>0</v>
      </c>
      <c r="K18" s="23">
        <f>(Założenia!J335*Założenia!J350*Założenia!$G54/100)*Założenia!$E$175</f>
        <v>0</v>
      </c>
      <c r="L18" s="23">
        <f>(Założenia!K335*Założenia!K350*Założenia!$G54/100)*Założenia!$E$175</f>
        <v>0</v>
      </c>
      <c r="M18" s="23">
        <f>(Założenia!L335*Założenia!L350*Założenia!$G54/100)*Założenia!$E$175</f>
        <v>0</v>
      </c>
      <c r="N18" s="23">
        <f>(Założenia!M335*Założenia!M350*Założenia!$G54/100)*Założenia!$E$175</f>
        <v>0</v>
      </c>
      <c r="O18" s="23">
        <f>(Założenia!N335*Założenia!N350*Założenia!$G54/100)*Założenia!$E$175</f>
        <v>0</v>
      </c>
      <c r="P18" s="23">
        <f>(Założenia!O335*Założenia!O350*Założenia!$G54/100)*Założenia!$E$175</f>
        <v>0</v>
      </c>
      <c r="Q18" s="23">
        <f>(Założenia!P335*Założenia!P350*Założenia!$G54/100)*Założenia!$E$175</f>
        <v>0</v>
      </c>
      <c r="R18" s="23">
        <f>(Założenia!Q335*Założenia!Q350*Założenia!$G54/100)*Założenia!$E$175</f>
        <v>0</v>
      </c>
      <c r="S18" s="23">
        <f>(Założenia!R335*Założenia!R350*Założenia!$G54/100)*Założenia!$E$175</f>
        <v>0</v>
      </c>
      <c r="T18" s="23">
        <f>(Założenia!S335*Założenia!S350*Założenia!$G54/100)*Założenia!$E$175</f>
        <v>0</v>
      </c>
    </row>
    <row r="19" spans="1:20" s="1" customFormat="1" ht="12">
      <c r="A19" s="96"/>
      <c r="B19" s="109" t="s">
        <v>427</v>
      </c>
      <c r="C19" s="214" t="s">
        <v>0</v>
      </c>
      <c r="D19" s="300"/>
      <c r="E19" s="23">
        <f>(Założenia!D336*Założenia!D350*Założenia!$G55/100)*Założenia!$E$175</f>
        <v>0</v>
      </c>
      <c r="F19" s="23">
        <f>(Założenia!E336*Założenia!E350*Założenia!$G55/100)*Założenia!$E$175</f>
        <v>0</v>
      </c>
      <c r="G19" s="23">
        <f>(Założenia!F336*Założenia!F350*Założenia!$G55/100)*Założenia!$E$175</f>
        <v>0</v>
      </c>
      <c r="H19" s="23">
        <f>(Założenia!G336*Założenia!G350*Założenia!$G55/100)*Założenia!$E$175</f>
        <v>0</v>
      </c>
      <c r="I19" s="23">
        <f>(Założenia!H336*Założenia!H350*Założenia!$G55/100)*Założenia!$E$175</f>
        <v>0</v>
      </c>
      <c r="J19" s="23">
        <f>(Założenia!I336*Założenia!I350*Założenia!$G55/100)*Założenia!$E$175</f>
        <v>0</v>
      </c>
      <c r="K19" s="23">
        <f>(Założenia!J336*Założenia!J350*Założenia!$G55/100)*Założenia!$E$175</f>
        <v>0</v>
      </c>
      <c r="L19" s="23">
        <f>(Założenia!K336*Założenia!K350*Założenia!$G55/100)*Założenia!$E$175</f>
        <v>0</v>
      </c>
      <c r="M19" s="23">
        <f>(Założenia!L336*Założenia!L350*Założenia!$G55/100)*Założenia!$E$175</f>
        <v>0</v>
      </c>
      <c r="N19" s="23">
        <f>(Założenia!M336*Założenia!M350*Założenia!$G55/100)*Założenia!$E$175</f>
        <v>0</v>
      </c>
      <c r="O19" s="23">
        <f>(Założenia!N336*Założenia!N350*Założenia!$G55/100)*Założenia!$E$175</f>
        <v>0</v>
      </c>
      <c r="P19" s="23">
        <f>(Założenia!O336*Założenia!O350*Założenia!$G55/100)*Założenia!$E$175</f>
        <v>0</v>
      </c>
      <c r="Q19" s="23">
        <f>(Założenia!P336*Założenia!P350*Założenia!$G55/100)*Założenia!$E$175</f>
        <v>0</v>
      </c>
      <c r="R19" s="23">
        <f>(Założenia!Q336*Założenia!Q350*Założenia!$G55/100)*Założenia!$E$175</f>
        <v>0</v>
      </c>
      <c r="S19" s="23">
        <f>(Założenia!R336*Założenia!R350*Założenia!$G55/100)*Założenia!$E$175</f>
        <v>0</v>
      </c>
      <c r="T19" s="23">
        <f>(Założenia!S336*Założenia!S350*Założenia!$G55/100)*Założenia!$E$175</f>
        <v>0</v>
      </c>
    </row>
    <row r="20" spans="1:20" s="1" customFormat="1" ht="12">
      <c r="A20" s="96"/>
      <c r="B20" s="109" t="s">
        <v>428</v>
      </c>
      <c r="C20" s="214" t="s">
        <v>0</v>
      </c>
      <c r="D20" s="300"/>
      <c r="E20" s="23">
        <f>(Założenia!D337*Założenia!D350*Założenia!$G56/100)*Założenia!$E$175</f>
        <v>0</v>
      </c>
      <c r="F20" s="23">
        <f>(Założenia!E337*Założenia!E350*Założenia!$G56/100)*Założenia!$E$175</f>
        <v>0</v>
      </c>
      <c r="G20" s="23">
        <f>(Założenia!F337*Założenia!F350*Założenia!$G56/100)*Założenia!$E$175</f>
        <v>0</v>
      </c>
      <c r="H20" s="23">
        <f>(Założenia!G337*Założenia!G350*Założenia!$G56/100)*Założenia!$E$175</f>
        <v>0</v>
      </c>
      <c r="I20" s="23">
        <f>(Założenia!H337*Założenia!H350*Założenia!$G56/100)*Założenia!$E$175</f>
        <v>0</v>
      </c>
      <c r="J20" s="23">
        <f>(Założenia!I337*Założenia!I350*Założenia!$G56/100)*Założenia!$E$175</f>
        <v>0</v>
      </c>
      <c r="K20" s="23">
        <f>(Założenia!J337*Założenia!J350*Założenia!$G56/100)*Założenia!$E$175</f>
        <v>0</v>
      </c>
      <c r="L20" s="23">
        <f>(Założenia!K337*Założenia!K350*Założenia!$G56/100)*Założenia!$E$175</f>
        <v>0</v>
      </c>
      <c r="M20" s="23">
        <f>(Założenia!L337*Założenia!L350*Założenia!$G56/100)*Założenia!$E$175</f>
        <v>0</v>
      </c>
      <c r="N20" s="23">
        <f>(Założenia!M337*Założenia!M350*Założenia!$G56/100)*Założenia!$E$175</f>
        <v>0</v>
      </c>
      <c r="O20" s="23">
        <f>(Założenia!N337*Założenia!N350*Założenia!$G56/100)*Założenia!$E$175</f>
        <v>0</v>
      </c>
      <c r="P20" s="23">
        <f>(Założenia!O337*Założenia!O350*Założenia!$G56/100)*Założenia!$E$175</f>
        <v>0</v>
      </c>
      <c r="Q20" s="23">
        <f>(Założenia!P337*Założenia!P350*Założenia!$G56/100)*Założenia!$E$175</f>
        <v>0</v>
      </c>
      <c r="R20" s="23">
        <f>(Założenia!Q337*Założenia!Q350*Założenia!$G56/100)*Założenia!$E$175</f>
        <v>0</v>
      </c>
      <c r="S20" s="23">
        <f>(Założenia!R337*Założenia!R350*Założenia!$G56/100)*Założenia!$E$175</f>
        <v>0</v>
      </c>
      <c r="T20" s="23">
        <f>(Założenia!S337*Założenia!S350*Założenia!$G56/100)*Założenia!$E$175</f>
        <v>0</v>
      </c>
    </row>
    <row r="21" spans="1:20" s="1" customFormat="1" ht="12">
      <c r="A21" s="96"/>
      <c r="B21" s="109" t="s">
        <v>429</v>
      </c>
      <c r="C21" s="214" t="s">
        <v>0</v>
      </c>
      <c r="D21" s="300"/>
      <c r="E21" s="23">
        <f>(Założenia!D338*Założenia!D350*Założenia!$G57/100)*Założenia!$E$175</f>
        <v>0</v>
      </c>
      <c r="F21" s="23">
        <f>(Założenia!E338*Założenia!E350*Założenia!$G57/100)*Założenia!$E$175</f>
        <v>0</v>
      </c>
      <c r="G21" s="23">
        <f>(Założenia!F338*Założenia!F350*Założenia!$G57/100)*Założenia!$E$175</f>
        <v>0</v>
      </c>
      <c r="H21" s="23">
        <f>(Założenia!G338*Założenia!G350*Założenia!$G57/100)*Założenia!$E$175</f>
        <v>0</v>
      </c>
      <c r="I21" s="23">
        <f>(Założenia!H338*Założenia!H350*Założenia!$G57/100)*Założenia!$E$175</f>
        <v>0</v>
      </c>
      <c r="J21" s="23">
        <f>(Założenia!I338*Założenia!I350*Założenia!$G57/100)*Założenia!$E$175</f>
        <v>0</v>
      </c>
      <c r="K21" s="23">
        <f>(Założenia!J338*Założenia!J350*Założenia!$G57/100)*Założenia!$E$175</f>
        <v>0</v>
      </c>
      <c r="L21" s="23">
        <f>(Założenia!K338*Założenia!K350*Założenia!$G57/100)*Założenia!$E$175</f>
        <v>0</v>
      </c>
      <c r="M21" s="23">
        <f>(Założenia!L338*Założenia!L350*Założenia!$G57/100)*Założenia!$E$175</f>
        <v>0</v>
      </c>
      <c r="N21" s="23">
        <f>(Założenia!M338*Założenia!M350*Założenia!$G57/100)*Założenia!$E$175</f>
        <v>0</v>
      </c>
      <c r="O21" s="23">
        <f>(Założenia!N338*Założenia!N350*Założenia!$G57/100)*Założenia!$E$175</f>
        <v>0</v>
      </c>
      <c r="P21" s="23">
        <f>(Założenia!O338*Założenia!O350*Założenia!$G57/100)*Założenia!$E$175</f>
        <v>0</v>
      </c>
      <c r="Q21" s="23">
        <f>(Założenia!P338*Założenia!P350*Założenia!$G57/100)*Założenia!$E$175</f>
        <v>0</v>
      </c>
      <c r="R21" s="23">
        <f>(Założenia!Q338*Założenia!Q350*Założenia!$G57/100)*Założenia!$E$175</f>
        <v>0</v>
      </c>
      <c r="S21" s="23">
        <f>(Założenia!R338*Założenia!R350*Założenia!$G57/100)*Założenia!$E$175</f>
        <v>0</v>
      </c>
      <c r="T21" s="23">
        <f>(Założenia!S338*Założenia!S350*Założenia!$G57/100)*Założenia!$E$175</f>
        <v>0</v>
      </c>
    </row>
    <row r="22" spans="1:20" s="1" customFormat="1" ht="12">
      <c r="A22" s="96"/>
      <c r="B22" s="109" t="s">
        <v>430</v>
      </c>
      <c r="C22" s="214" t="s">
        <v>0</v>
      </c>
      <c r="D22" s="300"/>
      <c r="E22" s="541">
        <f>(Założenia!D339*Założenia!D350*Założenia!$G58/100)*Założenia!$E$175+(Założenia!D331*Założenia!D349*Założenia!$E$58/100)*Założenia!$E$175</f>
        <v>1648868</v>
      </c>
      <c r="F22" s="541">
        <f>(Założenia!E339*Założenia!E350*Założenia!$G58/100)*Założenia!$E$175+(Założenia!E331*Założenia!E349*Założenia!$E$58/100)*Założenia!$E$175</f>
        <v>1650230.5870784642</v>
      </c>
      <c r="G22" s="541">
        <f>(Założenia!F339*Założenia!F350*Założenia!$G58/100)*Założenia!$E$175+(Założenia!F331*Założenia!F349*Założenia!$E$58/100)*Założenia!$E$175</f>
        <v>1650230.5870784642</v>
      </c>
      <c r="H22" s="541">
        <f>(Założenia!G339*Założenia!G350*Założenia!$G58/100)*Założenia!$E$175+(Założenia!G331*Założenia!G349*Założenia!$E$58/100)*Założenia!$E$175</f>
        <v>1650230.5870784642</v>
      </c>
      <c r="I22" s="541">
        <f>(Założenia!H339*Założenia!H350*Założenia!$G58/100)*Założenia!$E$175+(Założenia!H331*Założenia!H349*Założenia!$E$58/100)*Założenia!$E$175</f>
        <v>1650230.5870784642</v>
      </c>
      <c r="J22" s="541">
        <f>(Założenia!I339*Założenia!I350*Założenia!$G58/100)*Założenia!$E$175+(Założenia!I331*Założenia!I349*Założenia!$E$58/100)*Założenia!$E$175</f>
        <v>1650230.5870784642</v>
      </c>
      <c r="K22" s="541">
        <f>(Założenia!J339*Założenia!J350*Założenia!$G58/100)*Założenia!$E$175+(Założenia!J331*Założenia!J349*Założenia!$E$58/100)*Założenia!$E$175</f>
        <v>1650230.5870784642</v>
      </c>
      <c r="L22" s="541">
        <f>(Założenia!K339*Założenia!K350*Założenia!$G58/100)*Założenia!$E$175+(Założenia!K331*Założenia!K349*Założenia!$E$58/100)*Założenia!$E$175</f>
        <v>1159715.6361936564</v>
      </c>
      <c r="M22" s="541">
        <f>(Założenia!L339*Założenia!L350*Założenia!$G58/100)*Założenia!$E$175+(Założenia!L331*Założenia!L349*Założenia!$E$58/100)*Założenia!$E$175</f>
        <v>1159715.6361936564</v>
      </c>
      <c r="N22" s="541">
        <f>(Założenia!M339*Założenia!M350*Założenia!$G58/100)*Założenia!$E$175+(Założenia!M331*Założenia!M349*Założenia!$E$58/100)*Założenia!$E$175</f>
        <v>1159715.6361936564</v>
      </c>
      <c r="O22" s="541">
        <f>(Założenia!N339*Założenia!N350*Założenia!$G58/100)*Założenia!$E$175+(Założenia!N331*Założenia!N349*Założenia!$E$58/100)*Założenia!$E$175</f>
        <v>1159715.6361936564</v>
      </c>
      <c r="P22" s="541">
        <f>(Założenia!O339*Założenia!O350*Założenia!$G58/100)*Założenia!$E$175+(Założenia!O331*Założenia!O349*Założenia!$E$58/100)*Założenia!$E$175</f>
        <v>1159715.6361936564</v>
      </c>
      <c r="Q22" s="541">
        <f>(Założenia!P339*Założenia!P350*Założenia!$G58/100)*Założenia!$E$175+(Założenia!P331*Założenia!P349*Założenia!$E$58/100)*Założenia!$E$175</f>
        <v>1159715.6361936564</v>
      </c>
      <c r="R22" s="541">
        <f>(Założenia!Q339*Założenia!Q350*Założenia!$G58/100)*Założenia!$E$175+(Założenia!Q331*Założenia!Q349*Założenia!$E$58/100)*Założenia!$E$175</f>
        <v>1159715.6361936564</v>
      </c>
      <c r="S22" s="541">
        <f>(Założenia!R339*Założenia!R350*Założenia!$G58/100)*Założenia!$E$175+(Założenia!R331*Założenia!R349*Założenia!$E$58/100)*Założenia!$E$175</f>
        <v>1159715.6361936564</v>
      </c>
      <c r="T22" s="541">
        <f>(Założenia!S339*Założenia!S350*Założenia!$G58/100)*Założenia!$E$175+(Założenia!S331*Założenia!S349*Założenia!$E$58/100)*Założenia!$E$175</f>
        <v>1159715.6361936564</v>
      </c>
    </row>
    <row r="23" spans="1:20" s="1" customFormat="1" ht="12">
      <c r="A23" s="96"/>
      <c r="B23" s="109" t="s">
        <v>431</v>
      </c>
      <c r="C23" s="214" t="s">
        <v>0</v>
      </c>
      <c r="D23" s="300"/>
      <c r="E23" s="23">
        <f>(Założenia!D340*Założenia!D$351*Założenia!$G59/100)*Założenia!$E$175</f>
        <v>0</v>
      </c>
      <c r="F23" s="23">
        <f>(Założenia!E340*Założenia!E$351*Założenia!$G59/100)*Założenia!$E$175</f>
        <v>0</v>
      </c>
      <c r="G23" s="23">
        <f>(Założenia!F340*Założenia!F$351*Założenia!$G59/100)*Założenia!$E$175</f>
        <v>0</v>
      </c>
      <c r="H23" s="23">
        <f>(Założenia!G340*Założenia!G$351*Założenia!$G59/100)*Założenia!$E$175</f>
        <v>0</v>
      </c>
      <c r="I23" s="23">
        <f>(Założenia!H340*Założenia!H$351*Założenia!$G59/100)*Założenia!$E$175</f>
        <v>0</v>
      </c>
      <c r="J23" s="23">
        <f>(Założenia!I340*Założenia!I$351*Założenia!$G59/100)*Założenia!$E$175</f>
        <v>0</v>
      </c>
      <c r="K23" s="23">
        <f>(Założenia!J340*Założenia!J$351*Założenia!$G59/100)*Założenia!$E$175</f>
        <v>0</v>
      </c>
      <c r="L23" s="23">
        <f>(Założenia!K340*Założenia!K$351*Założenia!$G59/100)*Założenia!$E$175</f>
        <v>0</v>
      </c>
      <c r="M23" s="23">
        <f>(Założenia!L340*Założenia!L$351*Założenia!$G59/100)*Założenia!$E$175</f>
        <v>0</v>
      </c>
      <c r="N23" s="23">
        <f>(Założenia!M340*Założenia!M$351*Założenia!$G59/100)*Założenia!$E$175</f>
        <v>0</v>
      </c>
      <c r="O23" s="23">
        <f>(Założenia!N340*Założenia!N$351*Założenia!$G59/100)*Założenia!$E$175</f>
        <v>0</v>
      </c>
      <c r="P23" s="23">
        <f>(Założenia!O340*Założenia!O$351*Założenia!$G59/100)*Założenia!$E$175</f>
        <v>0</v>
      </c>
      <c r="Q23" s="23">
        <f>(Założenia!P340*Założenia!P$351*Założenia!$G59/100)*Założenia!$E$175</f>
        <v>0</v>
      </c>
      <c r="R23" s="23">
        <f>(Założenia!Q340*Założenia!Q$351*Założenia!$G59/100)*Założenia!$E$175</f>
        <v>0</v>
      </c>
      <c r="S23" s="23">
        <f>(Założenia!R340*Założenia!R$351*Założenia!$G59/100)*Założenia!$E$175</f>
        <v>0</v>
      </c>
      <c r="T23" s="23">
        <f>(Założenia!S340*Założenia!S$351*Założenia!$G59/100)*Założenia!$E$175</f>
        <v>0</v>
      </c>
    </row>
    <row r="24" spans="1:20" s="1" customFormat="1" ht="12">
      <c r="A24" s="96" t="s">
        <v>160</v>
      </c>
      <c r="B24" s="109" t="s">
        <v>275</v>
      </c>
      <c r="C24" s="214" t="s">
        <v>0</v>
      </c>
      <c r="D24" s="300"/>
      <c r="E24" s="23">
        <f>(E25+E32)*(1+(Założenia!D353-Założenia!$D$353)*Założenia!$E$182)</f>
        <v>423621.26932714082</v>
      </c>
      <c r="F24" s="23">
        <f>(F25+F32)*(1+(Założenia!E353-Założenia!$D$353)*Założenia!$E$182)</f>
        <v>445169.90734230058</v>
      </c>
      <c r="G24" s="23">
        <f>(G25+G32)*(1+(Założenia!F353-Założenia!$D$353)*Założenia!$E$182)</f>
        <v>466368.47435860062</v>
      </c>
      <c r="H24" s="23">
        <f>(H25+H32)*(1+(Założenia!G353-Założenia!$D$353)*Założenia!$E$182)</f>
        <v>487567.04137490055</v>
      </c>
      <c r="I24" s="23">
        <f>(I25+I32)*(1+(Założenia!H353-Założenia!$D$353)*Założenia!$E$182)</f>
        <v>508765.6083912006</v>
      </c>
      <c r="J24" s="23">
        <f>(J25+J32)*(1+(Założenia!I353-Założenia!$D$353)*Założenia!$E$182)</f>
        <v>529964.1754075007</v>
      </c>
      <c r="K24" s="23">
        <f>(K25+K32)*(1+(Założenia!J353-Założenia!$D$353)*Założenia!$E$182)</f>
        <v>551162.74242380075</v>
      </c>
      <c r="L24" s="23">
        <f>(L25+L32)*(1+(Założenia!K353-Założenia!$D$353)*Założenia!$E$182)</f>
        <v>404325.34654071525</v>
      </c>
      <c r="M24" s="23">
        <f>(M25+M32)*(1+(Założenia!L353-Założenia!$D$353)*Założenia!$E$182)</f>
        <v>423646.25470874482</v>
      </c>
      <c r="N24" s="23">
        <f>(N25+N32)*(1+(Założenia!M353-Założenia!$D$353)*Założenia!$E$182)</f>
        <v>442967.16287677427</v>
      </c>
      <c r="O24" s="23">
        <f>(O25+O32)*(1+(Założenia!N353-Założenia!$D$353)*Założenia!$E$182)</f>
        <v>462288.07104480377</v>
      </c>
      <c r="P24" s="23">
        <f>(P25+P32)*(1+(Założenia!O353-Założenia!$D$353)*Założenia!$E$182)</f>
        <v>481608.97921283334</v>
      </c>
      <c r="Q24" s="23">
        <f>(Q25+Q32)*(1+(Założenia!P353-Założenia!$D$353)*Założenia!$E$182)</f>
        <v>500929.88738086284</v>
      </c>
      <c r="R24" s="23">
        <f>(R25+R32)*(1+(Założenia!Q353-Założenia!$D$353)*Założenia!$E$182)</f>
        <v>520250.79554889241</v>
      </c>
      <c r="S24" s="23">
        <f>(S25+S32)*(1+(Założenia!R353-Założenia!$D$353)*Założenia!$E$182)</f>
        <v>539571.70371692197</v>
      </c>
      <c r="T24" s="23">
        <f>(T25+T32)*(1+(Założenia!S353-Założenia!$D$353)*Założenia!$E$182)</f>
        <v>453334.47945474135</v>
      </c>
    </row>
    <row r="25" spans="1:20" s="1" customFormat="1" ht="12">
      <c r="A25" s="96"/>
      <c r="B25" s="110" t="s">
        <v>343</v>
      </c>
      <c r="C25" s="214" t="s">
        <v>0</v>
      </c>
      <c r="D25" s="300"/>
      <c r="E25" s="23">
        <f>SUM(E26:E31)</f>
        <v>423621.26932714082</v>
      </c>
      <c r="F25" s="23">
        <f t="shared" ref="F25:T25" si="7">SUM(F26:F31)</f>
        <v>423971.34032600053</v>
      </c>
      <c r="G25" s="23">
        <f t="shared" si="7"/>
        <v>423971.34032600053</v>
      </c>
      <c r="H25" s="23">
        <f t="shared" si="7"/>
        <v>423971.34032600053</v>
      </c>
      <c r="I25" s="23">
        <f t="shared" si="7"/>
        <v>423971.34032600053</v>
      </c>
      <c r="J25" s="23">
        <f t="shared" si="7"/>
        <v>423971.34032600053</v>
      </c>
      <c r="K25" s="23">
        <f t="shared" si="7"/>
        <v>423971.34032600053</v>
      </c>
      <c r="L25" s="23">
        <f t="shared" si="7"/>
        <v>298725.86238522682</v>
      </c>
      <c r="M25" s="23">
        <f t="shared" si="7"/>
        <v>298725.86238522682</v>
      </c>
      <c r="N25" s="23">
        <f t="shared" si="7"/>
        <v>298725.86238522682</v>
      </c>
      <c r="O25" s="23">
        <f t="shared" si="7"/>
        <v>298725.86238522682</v>
      </c>
      <c r="P25" s="23">
        <f t="shared" si="7"/>
        <v>298725.86238522682</v>
      </c>
      <c r="Q25" s="23">
        <f t="shared" si="7"/>
        <v>298725.86238522682</v>
      </c>
      <c r="R25" s="23">
        <f t="shared" si="7"/>
        <v>298725.86238522682</v>
      </c>
      <c r="S25" s="23">
        <f t="shared" si="7"/>
        <v>298725.86238522682</v>
      </c>
      <c r="T25" s="23">
        <f t="shared" si="7"/>
        <v>298725.86238522682</v>
      </c>
    </row>
    <row r="26" spans="1:20" s="1" customFormat="1" ht="12">
      <c r="A26" s="96"/>
      <c r="B26" s="109" t="s">
        <v>426</v>
      </c>
      <c r="C26" s="214" t="s">
        <v>0</v>
      </c>
      <c r="D26" s="300"/>
      <c r="E26" s="23">
        <f>(Założenia!D334*Założenia!D$350)*Założenia!$E$177</f>
        <v>0</v>
      </c>
      <c r="F26" s="23">
        <f>(Założenia!E334*Założenia!E$350)*Założenia!$E$177</f>
        <v>0</v>
      </c>
      <c r="G26" s="23">
        <f>(Założenia!F334*Założenia!F$350)*Założenia!$E$177</f>
        <v>0</v>
      </c>
      <c r="H26" s="23">
        <f>(Założenia!G334*Założenia!G$350)*Założenia!$E$177</f>
        <v>0</v>
      </c>
      <c r="I26" s="23">
        <f>(Założenia!H334*Założenia!H$350)*Założenia!$E$177</f>
        <v>0</v>
      </c>
      <c r="J26" s="23">
        <f>(Założenia!I334*Założenia!I$350)*Założenia!$E$177</f>
        <v>0</v>
      </c>
      <c r="K26" s="23">
        <f>(Założenia!J334*Założenia!J$350)*Założenia!$E$177</f>
        <v>0</v>
      </c>
      <c r="L26" s="23">
        <f>(Założenia!K334*Założenia!K$350)*Założenia!$E$177</f>
        <v>0</v>
      </c>
      <c r="M26" s="23">
        <f>(Założenia!L334*Założenia!L$350)*Założenia!$E$177</f>
        <v>0</v>
      </c>
      <c r="N26" s="23">
        <f>(Założenia!M334*Założenia!M$350)*Założenia!$E$177</f>
        <v>0</v>
      </c>
      <c r="O26" s="23">
        <f>(Założenia!N334*Założenia!N$350)*Założenia!$E$177</f>
        <v>0</v>
      </c>
      <c r="P26" s="23">
        <f>(Założenia!O334*Założenia!O$350)*Założenia!$E$177</f>
        <v>0</v>
      </c>
      <c r="Q26" s="23">
        <f>(Założenia!P334*Założenia!P$350)*Założenia!$E$177</f>
        <v>0</v>
      </c>
      <c r="R26" s="23">
        <f>(Założenia!Q334*Założenia!Q$350)*Założenia!$E$177</f>
        <v>0</v>
      </c>
      <c r="S26" s="23">
        <f>(Założenia!R334*Założenia!R$350)*Założenia!$E$177</f>
        <v>0</v>
      </c>
      <c r="T26" s="23">
        <f>(Założenia!S334*Założenia!S$350)*Założenia!$E$177</f>
        <v>0</v>
      </c>
    </row>
    <row r="27" spans="1:20" s="1" customFormat="1" ht="12">
      <c r="A27" s="96"/>
      <c r="B27" s="109" t="s">
        <v>432</v>
      </c>
      <c r="C27" s="214" t="s">
        <v>0</v>
      </c>
      <c r="D27" s="300"/>
      <c r="E27" s="23">
        <f>(Założenia!D335*Założenia!D$350)*Założenia!$E$177</f>
        <v>0</v>
      </c>
      <c r="F27" s="23">
        <f>(Założenia!E335*Założenia!E$350)*Założenia!$E$177</f>
        <v>0</v>
      </c>
      <c r="G27" s="23">
        <f>(Założenia!F335*Założenia!F$350)*Założenia!$E$177</f>
        <v>0</v>
      </c>
      <c r="H27" s="23">
        <f>(Założenia!G335*Założenia!G$350)*Założenia!$E$177</f>
        <v>0</v>
      </c>
      <c r="I27" s="23">
        <f>(Założenia!H335*Założenia!H$350)*Założenia!$E$177</f>
        <v>0</v>
      </c>
      <c r="J27" s="23">
        <f>(Założenia!I335*Założenia!I$350)*Założenia!$E$177</f>
        <v>0</v>
      </c>
      <c r="K27" s="23">
        <f>(Założenia!J335*Założenia!J$350)*Założenia!$E$177</f>
        <v>0</v>
      </c>
      <c r="L27" s="23">
        <f>(Założenia!K335*Założenia!K$350)*Założenia!$E$177</f>
        <v>0</v>
      </c>
      <c r="M27" s="23">
        <f>(Założenia!L335*Założenia!L$350)*Założenia!$E$177</f>
        <v>0</v>
      </c>
      <c r="N27" s="23">
        <f>(Założenia!M335*Założenia!M$350)*Założenia!$E$177</f>
        <v>0</v>
      </c>
      <c r="O27" s="23">
        <f>(Założenia!N335*Założenia!N$350)*Założenia!$E$177</f>
        <v>0</v>
      </c>
      <c r="P27" s="23">
        <f>(Założenia!O335*Założenia!O$350)*Założenia!$E$177</f>
        <v>0</v>
      </c>
      <c r="Q27" s="23">
        <f>(Założenia!P335*Założenia!P$350)*Założenia!$E$177</f>
        <v>0</v>
      </c>
      <c r="R27" s="23">
        <f>(Założenia!Q335*Założenia!Q$350)*Założenia!$E$177</f>
        <v>0</v>
      </c>
      <c r="S27" s="23">
        <f>(Założenia!R335*Założenia!R$350)*Założenia!$E$177</f>
        <v>0</v>
      </c>
      <c r="T27" s="23">
        <f>(Założenia!S335*Założenia!S$350)*Założenia!$E$177</f>
        <v>0</v>
      </c>
    </row>
    <row r="28" spans="1:20" s="1" customFormat="1" ht="12">
      <c r="A28" s="96"/>
      <c r="B28" s="109" t="s">
        <v>427</v>
      </c>
      <c r="C28" s="214" t="s">
        <v>0</v>
      </c>
      <c r="D28" s="300"/>
      <c r="E28" s="23">
        <f>(Założenia!D336*Założenia!D$350)*Założenia!$E$177</f>
        <v>0</v>
      </c>
      <c r="F28" s="23">
        <f>(Założenia!E336*Założenia!E$350)*Założenia!$E$177</f>
        <v>0</v>
      </c>
      <c r="G28" s="23">
        <f>(Założenia!F336*Założenia!F$350)*Założenia!$E$177</f>
        <v>0</v>
      </c>
      <c r="H28" s="23">
        <f>(Założenia!G336*Założenia!G$350)*Założenia!$E$177</f>
        <v>0</v>
      </c>
      <c r="I28" s="23">
        <f>(Założenia!H336*Założenia!H$350)*Założenia!$E$177</f>
        <v>0</v>
      </c>
      <c r="J28" s="23">
        <f>(Założenia!I336*Założenia!I$350)*Założenia!$E$177</f>
        <v>0</v>
      </c>
      <c r="K28" s="23">
        <f>(Założenia!J336*Założenia!J$350)*Założenia!$E$177</f>
        <v>0</v>
      </c>
      <c r="L28" s="23">
        <f>(Założenia!K336*Założenia!K$350)*Założenia!$E$177</f>
        <v>0</v>
      </c>
      <c r="M28" s="23">
        <f>(Założenia!L336*Założenia!L$350)*Założenia!$E$177</f>
        <v>0</v>
      </c>
      <c r="N28" s="23">
        <f>(Założenia!M336*Założenia!M$350)*Założenia!$E$177</f>
        <v>0</v>
      </c>
      <c r="O28" s="23">
        <f>(Założenia!N336*Założenia!N$350)*Założenia!$E$177</f>
        <v>0</v>
      </c>
      <c r="P28" s="23">
        <f>(Założenia!O336*Założenia!O$350)*Założenia!$E$177</f>
        <v>0</v>
      </c>
      <c r="Q28" s="23">
        <f>(Założenia!P336*Założenia!P$350)*Założenia!$E$177</f>
        <v>0</v>
      </c>
      <c r="R28" s="23">
        <f>(Założenia!Q336*Założenia!Q$350)*Założenia!$E$177</f>
        <v>0</v>
      </c>
      <c r="S28" s="23">
        <f>(Założenia!R336*Założenia!R$350)*Założenia!$E$177</f>
        <v>0</v>
      </c>
      <c r="T28" s="23">
        <f>(Założenia!S336*Założenia!S$350)*Założenia!$E$177</f>
        <v>0</v>
      </c>
    </row>
    <row r="29" spans="1:20" s="1" customFormat="1" ht="12">
      <c r="A29" s="96"/>
      <c r="B29" s="109" t="s">
        <v>428</v>
      </c>
      <c r="C29" s="214" t="s">
        <v>0</v>
      </c>
      <c r="D29" s="300"/>
      <c r="E29" s="23">
        <f>(Założenia!D337*Założenia!D$350)*Założenia!$E$177</f>
        <v>0</v>
      </c>
      <c r="F29" s="23">
        <f>(Założenia!E337*Założenia!E$350)*Założenia!$E$177</f>
        <v>0</v>
      </c>
      <c r="G29" s="23">
        <f>(Założenia!F337*Założenia!F$350)*Założenia!$E$177</f>
        <v>0</v>
      </c>
      <c r="H29" s="23">
        <f>(Założenia!G337*Założenia!G$350)*Założenia!$E$177</f>
        <v>0</v>
      </c>
      <c r="I29" s="23">
        <f>(Założenia!H337*Założenia!H$350)*Założenia!$E$177</f>
        <v>0</v>
      </c>
      <c r="J29" s="23">
        <f>(Założenia!I337*Założenia!I$350)*Założenia!$E$177</f>
        <v>0</v>
      </c>
      <c r="K29" s="23">
        <f>(Założenia!J337*Założenia!J$350)*Założenia!$E$177</f>
        <v>0</v>
      </c>
      <c r="L29" s="23">
        <f>(Założenia!K337*Założenia!K$350)*Założenia!$E$177</f>
        <v>0</v>
      </c>
      <c r="M29" s="23">
        <f>(Założenia!L337*Założenia!L$350)*Założenia!$E$177</f>
        <v>0</v>
      </c>
      <c r="N29" s="23">
        <f>(Założenia!M337*Założenia!M$350)*Założenia!$E$177</f>
        <v>0</v>
      </c>
      <c r="O29" s="23">
        <f>(Założenia!N337*Założenia!N$350)*Założenia!$E$177</f>
        <v>0</v>
      </c>
      <c r="P29" s="23">
        <f>(Założenia!O337*Założenia!O$350)*Założenia!$E$177</f>
        <v>0</v>
      </c>
      <c r="Q29" s="23">
        <f>(Założenia!P337*Założenia!P$350)*Założenia!$E$177</f>
        <v>0</v>
      </c>
      <c r="R29" s="23">
        <f>(Założenia!Q337*Założenia!Q$350)*Założenia!$E$177</f>
        <v>0</v>
      </c>
      <c r="S29" s="23">
        <f>(Założenia!R337*Założenia!R$350)*Założenia!$E$177</f>
        <v>0</v>
      </c>
      <c r="T29" s="23">
        <f>(Założenia!S337*Założenia!S$350)*Założenia!$E$177</f>
        <v>0</v>
      </c>
    </row>
    <row r="30" spans="1:20" s="1" customFormat="1" ht="12">
      <c r="A30" s="96"/>
      <c r="B30" s="109" t="s">
        <v>429</v>
      </c>
      <c r="C30" s="214" t="s">
        <v>0</v>
      </c>
      <c r="D30" s="300"/>
      <c r="E30" s="23">
        <f>(Założenia!D338*Założenia!D$350)*Założenia!$E$177</f>
        <v>0</v>
      </c>
      <c r="F30" s="23">
        <f>(Założenia!E338*Założenia!E$350)*Założenia!$E$177</f>
        <v>0</v>
      </c>
      <c r="G30" s="23">
        <f>(Założenia!F338*Założenia!F$350)*Założenia!$E$177</f>
        <v>0</v>
      </c>
      <c r="H30" s="23">
        <f>(Założenia!G338*Założenia!G$350)*Założenia!$E$177</f>
        <v>0</v>
      </c>
      <c r="I30" s="23">
        <f>(Założenia!H338*Założenia!H$350)*Założenia!$E$177</f>
        <v>0</v>
      </c>
      <c r="J30" s="23">
        <f>(Założenia!I338*Założenia!I$350)*Założenia!$E$177</f>
        <v>0</v>
      </c>
      <c r="K30" s="23">
        <f>(Założenia!J338*Założenia!J$350)*Założenia!$E$177</f>
        <v>0</v>
      </c>
      <c r="L30" s="23">
        <f>(Założenia!K338*Założenia!K$350)*Założenia!$E$177</f>
        <v>0</v>
      </c>
      <c r="M30" s="23">
        <f>(Założenia!L338*Założenia!L$350)*Założenia!$E$177</f>
        <v>0</v>
      </c>
      <c r="N30" s="23">
        <f>(Założenia!M338*Założenia!M$350)*Założenia!$E$177</f>
        <v>0</v>
      </c>
      <c r="O30" s="23">
        <f>(Założenia!N338*Założenia!N$350)*Założenia!$E$177</f>
        <v>0</v>
      </c>
      <c r="P30" s="23">
        <f>(Założenia!O338*Założenia!O$350)*Założenia!$E$177</f>
        <v>0</v>
      </c>
      <c r="Q30" s="23">
        <f>(Założenia!P338*Założenia!P$350)*Założenia!$E$177</f>
        <v>0</v>
      </c>
      <c r="R30" s="23">
        <f>(Założenia!Q338*Założenia!Q$350)*Założenia!$E$177</f>
        <v>0</v>
      </c>
      <c r="S30" s="23">
        <f>(Założenia!R338*Założenia!R$350)*Założenia!$E$177</f>
        <v>0</v>
      </c>
      <c r="T30" s="23">
        <f>(Założenia!S338*Założenia!S$350)*Założenia!$E$177</f>
        <v>0</v>
      </c>
    </row>
    <row r="31" spans="1:20" s="1" customFormat="1" ht="12">
      <c r="A31" s="96"/>
      <c r="B31" s="109" t="s">
        <v>433</v>
      </c>
      <c r="C31" s="214" t="s">
        <v>0</v>
      </c>
      <c r="D31" s="300"/>
      <c r="E31" s="541">
        <f>(Założenia!D339*Założenia!D350+Założenia!D340*Założenia!D351+Założenia!D331*Założenia!D349)*Założenia!$E$177</f>
        <v>423621.26932714082</v>
      </c>
      <c r="F31" s="541">
        <f>(Założenia!E339*Założenia!E350+Założenia!E340*Założenia!E351+Założenia!E331*Założenia!E349)*Założenia!$E$177</f>
        <v>423971.34032600053</v>
      </c>
      <c r="G31" s="541">
        <f>(Założenia!F339*Założenia!F350+Założenia!F340*Założenia!F351+Założenia!F331*Założenia!F349)*Założenia!$E$177</f>
        <v>423971.34032600053</v>
      </c>
      <c r="H31" s="541">
        <f>(Założenia!G339*Założenia!G350+Założenia!G340*Założenia!G351+Założenia!G331*Założenia!G349)*Założenia!$E$177</f>
        <v>423971.34032600053</v>
      </c>
      <c r="I31" s="541">
        <f>(Założenia!H339*Założenia!H350+Założenia!H340*Założenia!H351+Założenia!H331*Założenia!H349)*Założenia!$E$177</f>
        <v>423971.34032600053</v>
      </c>
      <c r="J31" s="541">
        <f>(Założenia!I339*Założenia!I350+Założenia!I340*Założenia!I351+Założenia!I331*Założenia!I349)*Założenia!$E$177</f>
        <v>423971.34032600053</v>
      </c>
      <c r="K31" s="541">
        <f>(Założenia!J339*Założenia!J350+Założenia!J340*Założenia!J351+Założenia!J331*Założenia!J349)*Założenia!$E$177</f>
        <v>423971.34032600053</v>
      </c>
      <c r="L31" s="541">
        <f>(Założenia!K339*Założenia!K350+Założenia!K340*Założenia!K351+Założenia!K331*Założenia!K349)*Założenia!$E$177</f>
        <v>298725.86238522682</v>
      </c>
      <c r="M31" s="541">
        <f>(Założenia!L339*Założenia!L350+Założenia!L340*Założenia!L351+Założenia!L331*Założenia!L349)*Założenia!$E$177</f>
        <v>298725.86238522682</v>
      </c>
      <c r="N31" s="541">
        <f>(Założenia!M339*Założenia!M350+Założenia!M340*Założenia!M351+Założenia!M331*Założenia!M349)*Założenia!$E$177</f>
        <v>298725.86238522682</v>
      </c>
      <c r="O31" s="541">
        <f>(Założenia!N339*Założenia!N350+Założenia!N340*Założenia!N351+Założenia!N331*Założenia!N349)*Założenia!$E$177</f>
        <v>298725.86238522682</v>
      </c>
      <c r="P31" s="541">
        <f>(Założenia!O339*Założenia!O350+Założenia!O340*Założenia!O351+Założenia!O331*Założenia!O349)*Założenia!$E$177</f>
        <v>298725.86238522682</v>
      </c>
      <c r="Q31" s="541">
        <f>(Założenia!P339*Założenia!P350+Założenia!P340*Założenia!P351+Założenia!P331*Założenia!P349)*Założenia!$E$177</f>
        <v>298725.86238522682</v>
      </c>
      <c r="R31" s="541">
        <f>(Założenia!Q339*Założenia!Q350+Założenia!Q340*Założenia!Q351+Założenia!Q331*Założenia!Q349)*Założenia!$E$177</f>
        <v>298725.86238522682</v>
      </c>
      <c r="S31" s="541">
        <f>(Założenia!R339*Założenia!R350+Założenia!R340*Założenia!R351+Założenia!R331*Założenia!R349)*Założenia!$E$177</f>
        <v>298725.86238522682</v>
      </c>
      <c r="T31" s="541">
        <f>(Założenia!S339*Założenia!S350+Założenia!S340*Założenia!S351+Założenia!S331*Założenia!S349)*Założenia!$E$177</f>
        <v>298725.86238522682</v>
      </c>
    </row>
    <row r="32" spans="1:20" s="1" customFormat="1" ht="12">
      <c r="A32" s="96"/>
      <c r="B32" s="110" t="s">
        <v>342</v>
      </c>
      <c r="C32" s="214" t="s">
        <v>0</v>
      </c>
      <c r="D32" s="300"/>
      <c r="E32" s="23">
        <f>Założenia!D341*Założenia!D352*Założenia!$E$177*Założenia!$E$180</f>
        <v>0</v>
      </c>
      <c r="F32" s="23">
        <f>Założenia!E341*Założenia!E352*Założenia!$E$177*Założenia!$E$180</f>
        <v>0</v>
      </c>
      <c r="G32" s="23">
        <f>Założenia!F341*Założenia!F352*Założenia!$E$177*Założenia!$E$180</f>
        <v>0</v>
      </c>
      <c r="H32" s="23">
        <f>Założenia!G341*Założenia!G352*Założenia!$E$177*Założenia!$E$180</f>
        <v>0</v>
      </c>
      <c r="I32" s="23">
        <f>Założenia!H341*Założenia!H352*Założenia!$E$177*Założenia!$E$180</f>
        <v>0</v>
      </c>
      <c r="J32" s="23">
        <f>Założenia!I341*Założenia!I352*Założenia!$E$177*Założenia!$E$180</f>
        <v>0</v>
      </c>
      <c r="K32" s="23">
        <f>Założenia!J341*Założenia!J352*Założenia!$E$177*Założenia!$E$180</f>
        <v>0</v>
      </c>
      <c r="L32" s="23">
        <f>Założenia!K341*Założenia!K352*Założenia!$E$177*Założenia!$E$180</f>
        <v>87692.300975363542</v>
      </c>
      <c r="M32" s="23">
        <f>Założenia!L341*Założenia!L352*Założenia!$E$177*Założenia!$E$180</f>
        <v>87692.300975363542</v>
      </c>
      <c r="N32" s="23">
        <f>Założenia!M341*Założenia!M352*Założenia!$E$177*Założenia!$E$180</f>
        <v>87692.300975363542</v>
      </c>
      <c r="O32" s="23">
        <f>Założenia!N341*Założenia!N352*Założenia!$E$177*Założenia!$E$180</f>
        <v>87692.300975363542</v>
      </c>
      <c r="P32" s="23">
        <f>Założenia!O341*Założenia!O352*Założenia!$E$177*Założenia!$E$180</f>
        <v>87692.300975363542</v>
      </c>
      <c r="Q32" s="23">
        <f>Założenia!P341*Założenia!P352*Założenia!$E$177*Założenia!$E$180</f>
        <v>87692.300975363542</v>
      </c>
      <c r="R32" s="23">
        <f>Założenia!Q341*Założenia!Q352*Założenia!$E$177*Założenia!$E$180</f>
        <v>87692.300975363542</v>
      </c>
      <c r="S32" s="23">
        <f>Założenia!R341*Założenia!R352*Założenia!$E$177*Założenia!$E$180</f>
        <v>87692.300975363542</v>
      </c>
      <c r="T32" s="23">
        <f>Założenia!S341*Założenia!S352*Założenia!$E$177*Założenia!$E$180</f>
        <v>87692.300975363542</v>
      </c>
    </row>
    <row r="33" spans="1:21" s="13" customFormat="1" ht="12">
      <c r="A33" s="108" t="s">
        <v>50</v>
      </c>
      <c r="B33" s="118" t="s">
        <v>7</v>
      </c>
      <c r="C33" s="301" t="s">
        <v>0</v>
      </c>
      <c r="D33" s="302"/>
      <c r="E33" s="542">
        <f>((SUM(Założenia!D334:D338)*Założenia!D350)*Założenia!$E$178+(Założenia!D339*Założenia!D350+Założenia!D340*Założenia!D351+Założenia!D331*Założenia!D349)*Założenia!$E$178+(Założenia!D341*Założenia!D352)*Założenia!$E$178*Założenia!$E$180)*(1+(Założenia!D353-Założenia!$D$353)*Założenia!$E$182)+Opcje!E101*Założenia!$E$197+Opcje!E102*Założenia!$E$196</f>
        <v>681335.37557993992</v>
      </c>
      <c r="F33" s="542">
        <f>((SUM(Założenia!E334:E338)*Założenia!E350)*Założenia!$E$178+(Założenia!E339*Założenia!E350+Założenia!E340*Założenia!E351+Założenia!E331*Założenia!E349)*Założenia!$E$178+(Założenia!E341*Założenia!E352)*Założenia!$E$178*Założenia!$E$180)*(1+(Założenia!E353-Założenia!$D$353)*Założenia!$E$182)+Opcje!F101*Założenia!$E$197+Opcje!F102*Założenia!$E$196</f>
        <v>715993.33644818177</v>
      </c>
      <c r="G33" s="542">
        <f>((SUM(Założenia!F334:F338)*Założenia!F350)*Założenia!$E$178+(Założenia!F339*Założenia!F350+Założenia!F340*Założenia!F351+Założenia!F331*Założenia!F349)*Założenia!$E$178+(Założenia!F341*Założenia!F352)*Założenia!$E$178*Założenia!$E$180)*(1+(Założenia!F353-Założenia!$D$353)*Założenia!$E$182)+Opcje!G101*Założenia!$E$197+Opcje!G102*Założenia!$E$196</f>
        <v>750088.25723142864</v>
      </c>
      <c r="H33" s="542">
        <f>((SUM(Założenia!G334:G338)*Założenia!G350)*Założenia!$E$178+(Założenia!G339*Założenia!G350+Założenia!G340*Założenia!G351+Założenia!G331*Założenia!G349)*Założenia!$E$178+(Założenia!G341*Założenia!G352)*Założenia!$E$178*Założenia!$E$180)*(1+(Założenia!G353-Założenia!$D$353)*Założenia!$E$182)+Opcje!H101*Założenia!$E$197+Opcje!H102*Założenia!$E$196</f>
        <v>784183.17801467516</v>
      </c>
      <c r="I33" s="542">
        <f>((SUM(Założenia!H334:H338)*Założenia!H350)*Założenia!$E$178+(Założenia!H339*Założenia!H350+Założenia!H340*Założenia!H351+Założenia!H331*Założenia!H349)*Założenia!$E$178+(Założenia!H341*Założenia!H352)*Założenia!$E$178*Założenia!$E$180)*(1+(Założenia!H353-Założenia!$D$353)*Założenia!$E$182)+Opcje!I101*Założenia!$E$197+Opcje!I102*Założenia!$E$196</f>
        <v>818278.09879792202</v>
      </c>
      <c r="J33" s="542">
        <f>((SUM(Założenia!I334:I338)*Założenia!I350)*Założenia!$E$178+(Założenia!I339*Założenia!I350+Założenia!I340*Założenia!I351+Założenia!I331*Założenia!I349)*Założenia!$E$178+(Założenia!I341*Założenia!I352)*Założenia!$E$178*Założenia!$E$180)*(1+(Założenia!I353-Założenia!$D$353)*Założenia!$E$182)+Opcje!J101*Założenia!$E$197+Opcje!J102*Założenia!$E$196</f>
        <v>852373.01958116877</v>
      </c>
      <c r="K33" s="542">
        <f>((SUM(Założenia!J334:J338)*Założenia!J350)*Założenia!$E$178+(Założenia!J339*Założenia!J350+Założenia!J340*Założenia!J351+Założenia!J331*Założenia!J349)*Założenia!$E$178+(Założenia!J341*Założenia!J352)*Założenia!$E$178*Założenia!$E$180)*(1+(Założenia!J353-Założenia!$D$353)*Założenia!$E$182)+Opcje!K101*Założenia!$E$197+Opcje!K102*Założenia!$E$196</f>
        <v>912467.94036441552</v>
      </c>
      <c r="L33" s="542">
        <f>((SUM(Założenia!K334:K338)*Założenia!K350)*Założenia!$E$178+(Założenia!K339*Założenia!K350+Założenia!K340*Założenia!K351+Założenia!K331*Założenia!K349)*Założenia!$E$178+(Założenia!K341*Założenia!K352)*Założenia!$E$178*Założenia!$E$180)*(1+(Założenia!K353-Założenia!$D$353)*Założenia!$E$182)+Opcje!L101*Założenia!$E$197+Opcje!L102*Założenia!$E$196</f>
        <v>676300.5910901695</v>
      </c>
      <c r="M33" s="542">
        <f>((SUM(Założenia!L334:L338)*Założenia!L350)*Założenia!$E$178+(Założenia!L339*Założenia!L350+Założenia!L340*Założenia!L351+Założenia!L331*Założenia!L349)*Założenia!$E$178+(Założenia!L341*Założenia!L352)*Założenia!$E$178*Założenia!$E$180)*(1+(Założenia!L353-Założenia!$D$353)*Założenia!$E$182)+Opcje!M101*Założenia!$E$197+Opcje!M102*Założenia!$E$196</f>
        <v>707375.5610606788</v>
      </c>
      <c r="N33" s="542">
        <f>((SUM(Założenia!M334:M338)*Założenia!M350)*Założenia!$E$178+(Założenia!M339*Założenia!M350+Założenia!M340*Założenia!M351+Założenia!M331*Założenia!M349)*Założenia!$E$178+(Założenia!M341*Założenia!M352)*Założenia!$E$178*Założenia!$E$180)*(1+(Założenia!M353-Założenia!$D$353)*Założenia!$E$182)+Opcje!N101*Założenia!$E$197+Opcje!N102*Założenia!$E$196</f>
        <v>738450.53103118797</v>
      </c>
      <c r="O33" s="542">
        <f>((SUM(Założenia!N334:N338)*Założenia!N350)*Założenia!$E$178+(Założenia!N339*Założenia!N350+Założenia!N340*Założenia!N351+Założenia!N331*Założenia!N349)*Założenia!$E$178+(Założenia!N341*Założenia!N352)*Założenia!$E$178*Założenia!$E$180)*(1+(Założenia!N353-Założenia!$D$353)*Założenia!$E$182)+Opcje!O101*Założenia!$E$197+Opcje!O102*Założenia!$E$196</f>
        <v>769525.50100169727</v>
      </c>
      <c r="P33" s="542">
        <f>((SUM(Założenia!O334:O338)*Założenia!O350)*Założenia!$E$178+(Założenia!O339*Założenia!O350+Założenia!O340*Założenia!O351+Założenia!O331*Założenia!O349)*Założenia!$E$178+(Założenia!O341*Założenia!O352)*Założenia!$E$178*Założenia!$E$180)*(1+(Założenia!O353-Założenia!$D$353)*Założenia!$E$182)+Opcje!P101*Założenia!$E$197+Opcje!P102*Założenia!$E$196</f>
        <v>800600.47097220656</v>
      </c>
      <c r="Q33" s="542">
        <f>((SUM(Założenia!P334:P338)*Założenia!P350)*Założenia!$E$178+(Założenia!P339*Założenia!P350+Założenia!P340*Założenia!P351+Założenia!P331*Założenia!P349)*Założenia!$E$178+(Założenia!P341*Założenia!P352)*Założenia!$E$178*Założenia!$E$180)*(1+(Założenia!P353-Założenia!$D$353)*Założenia!$E$182)+Opcje!Q101*Założenia!$E$197+Opcje!Q102*Założenia!$E$196</f>
        <v>831675.44094271585</v>
      </c>
      <c r="R33" s="542">
        <f>((SUM(Założenia!Q334:Q338)*Założenia!Q350)*Założenia!$E$178+(Założenia!Q339*Założenia!Q350+Założenia!Q340*Założenia!Q351+Założenia!Q331*Założenia!Q349)*Założenia!$E$178+(Założenia!Q341*Założenia!Q352)*Założenia!$E$178*Założenia!$E$180)*(1+(Założenia!Q353-Założenia!$D$353)*Założenia!$E$182)+Opcje!R101*Założenia!$E$197+Opcje!R102*Założenia!$E$196</f>
        <v>862750.41091322515</v>
      </c>
      <c r="S33" s="542">
        <f>((SUM(Założenia!R334:R338)*Założenia!R350)*Założenia!$E$178+(Założenia!R339*Założenia!R350+Założenia!R340*Założenia!R351+Założenia!R331*Założenia!R349)*Założenia!$E$178+(Założenia!R341*Założenia!R352)*Założenia!$E$178*Założenia!$E$180)*(1+(Założenia!R353-Założenia!$D$353)*Założenia!$E$182)+Opcje!S101*Założenia!$E$197+Opcje!S102*Założenia!$E$196</f>
        <v>893825.38088373444</v>
      </c>
      <c r="T33" s="542">
        <f>((SUM(Założenia!S334:S338)*Założenia!S350)*Założenia!$E$178+(Założenia!S339*Założenia!S350+Założenia!S340*Założenia!S351+Założenia!S331*Założenia!S349)*Założenia!$E$178+(Założenia!S341*Założenia!S352)*Założenia!$E$178*Założenia!$E$180)*(1+(Założenia!S353-Założenia!$D$353)*Założenia!$E$182)+Opcje!T101*Założenia!$E$197+Opcje!T102*Założenia!$E$196</f>
        <v>755124.9051617051</v>
      </c>
    </row>
    <row r="34" spans="1:21" s="13" customFormat="1" ht="12">
      <c r="A34" s="108" t="s">
        <v>61</v>
      </c>
      <c r="B34" s="118" t="s">
        <v>8</v>
      </c>
      <c r="C34" s="301" t="s">
        <v>0</v>
      </c>
      <c r="D34" s="302"/>
      <c r="E34" s="22">
        <f>Założenia!$E$218</f>
        <v>337789.35039205936</v>
      </c>
      <c r="F34" s="22">
        <f>Założenia!$E$218</f>
        <v>337789.35039205936</v>
      </c>
      <c r="G34" s="22">
        <f>Założenia!$E$218</f>
        <v>337789.35039205936</v>
      </c>
      <c r="H34" s="22">
        <f>Założenia!$E$218</f>
        <v>337789.35039205936</v>
      </c>
      <c r="I34" s="22">
        <f>Założenia!$E$218</f>
        <v>337789.35039205936</v>
      </c>
      <c r="J34" s="22">
        <f>Założenia!$E$218</f>
        <v>337789.35039205936</v>
      </c>
      <c r="K34" s="22">
        <f>Założenia!$E$218</f>
        <v>337789.35039205936</v>
      </c>
      <c r="L34" s="22">
        <f>Założenia!$E$218</f>
        <v>337789.35039205936</v>
      </c>
      <c r="M34" s="22">
        <f>Założenia!$E$218</f>
        <v>337789.35039205936</v>
      </c>
      <c r="N34" s="22">
        <f>Założenia!$E$218</f>
        <v>337789.35039205936</v>
      </c>
      <c r="O34" s="22">
        <f>Założenia!$E$218</f>
        <v>337789.35039205936</v>
      </c>
      <c r="P34" s="22">
        <f>Założenia!$E$218</f>
        <v>337789.35039205936</v>
      </c>
      <c r="Q34" s="22">
        <f>Założenia!$E$218</f>
        <v>337789.35039205936</v>
      </c>
      <c r="R34" s="22">
        <f>Założenia!$E$218</f>
        <v>337789.35039205936</v>
      </c>
      <c r="S34" s="22">
        <f>Założenia!$E$218</f>
        <v>337789.35039205936</v>
      </c>
      <c r="T34" s="22">
        <f>Założenia!$E$218</f>
        <v>337789.35039205936</v>
      </c>
    </row>
    <row r="35" spans="1:21" s="13" customFormat="1" ht="12">
      <c r="A35" s="108" t="s">
        <v>69</v>
      </c>
      <c r="B35" s="166" t="s">
        <v>10</v>
      </c>
      <c r="C35" s="301" t="s">
        <v>0</v>
      </c>
      <c r="D35" s="302"/>
      <c r="E35" s="22">
        <f>Założenia!$E$209</f>
        <v>5097501.7389051178</v>
      </c>
      <c r="F35" s="22">
        <f>Założenia!$E$209</f>
        <v>5097501.7389051178</v>
      </c>
      <c r="G35" s="22">
        <f>Założenia!$E$209</f>
        <v>5097501.7389051178</v>
      </c>
      <c r="H35" s="22">
        <f>Założenia!$E$209</f>
        <v>5097501.7389051178</v>
      </c>
      <c r="I35" s="22">
        <f>Założenia!$E$209</f>
        <v>5097501.7389051178</v>
      </c>
      <c r="J35" s="22">
        <f>Założenia!$E$209</f>
        <v>5097501.7389051178</v>
      </c>
      <c r="K35" s="22">
        <f>Założenia!$E$209</f>
        <v>5097501.7389051178</v>
      </c>
      <c r="L35" s="22">
        <f>Założenia!$E$209</f>
        <v>5097501.7389051178</v>
      </c>
      <c r="M35" s="22">
        <f>Założenia!$E$209</f>
        <v>5097501.7389051178</v>
      </c>
      <c r="N35" s="22">
        <f>Założenia!$E$209</f>
        <v>5097501.7389051178</v>
      </c>
      <c r="O35" s="22">
        <f>Założenia!$E$209</f>
        <v>5097501.7389051178</v>
      </c>
      <c r="P35" s="22">
        <f>Założenia!$E$209</f>
        <v>5097501.7389051178</v>
      </c>
      <c r="Q35" s="22">
        <f>Założenia!$E$209</f>
        <v>5097501.7389051178</v>
      </c>
      <c r="R35" s="22">
        <f>Założenia!$E$209</f>
        <v>5097501.7389051178</v>
      </c>
      <c r="S35" s="22">
        <f>Założenia!$E$209</f>
        <v>5097501.7389051178</v>
      </c>
      <c r="T35" s="22">
        <f>Założenia!$E$209</f>
        <v>5097501.7389051178</v>
      </c>
    </row>
    <row r="36" spans="1:21" s="13" customFormat="1" ht="12">
      <c r="A36" s="108" t="s">
        <v>70</v>
      </c>
      <c r="B36" s="110" t="s">
        <v>199</v>
      </c>
      <c r="C36" s="301" t="s">
        <v>0</v>
      </c>
      <c r="D36" s="302"/>
      <c r="E36" s="22">
        <f>Założenia!$E$210</f>
        <v>1372905.9020110394</v>
      </c>
      <c r="F36" s="22">
        <f>Założenia!$E$210</f>
        <v>1372905.9020110394</v>
      </c>
      <c r="G36" s="22">
        <f>Założenia!$E$210</f>
        <v>1372905.9020110394</v>
      </c>
      <c r="H36" s="22">
        <f>Założenia!$E$210</f>
        <v>1372905.9020110394</v>
      </c>
      <c r="I36" s="22">
        <f>Założenia!$E$210</f>
        <v>1372905.9020110394</v>
      </c>
      <c r="J36" s="22">
        <f>Założenia!$E$210</f>
        <v>1372905.9020110394</v>
      </c>
      <c r="K36" s="22">
        <f>Założenia!$E$210</f>
        <v>1372905.9020110394</v>
      </c>
      <c r="L36" s="22">
        <f>Założenia!$E$210</f>
        <v>1372905.9020110394</v>
      </c>
      <c r="M36" s="22">
        <f>Założenia!$E$210</f>
        <v>1372905.9020110394</v>
      </c>
      <c r="N36" s="22">
        <f>Założenia!$E$210</f>
        <v>1372905.9020110394</v>
      </c>
      <c r="O36" s="22">
        <f>Założenia!$E$210</f>
        <v>1372905.9020110394</v>
      </c>
      <c r="P36" s="22">
        <f>Założenia!$E$210</f>
        <v>1372905.9020110394</v>
      </c>
      <c r="Q36" s="22">
        <f>Założenia!$E$210</f>
        <v>1372905.9020110394</v>
      </c>
      <c r="R36" s="22">
        <f>Założenia!$E$210</f>
        <v>1372905.9020110394</v>
      </c>
      <c r="S36" s="22">
        <f>Założenia!$E$210</f>
        <v>1372905.9020110394</v>
      </c>
      <c r="T36" s="22">
        <f>Założenia!$E$210</f>
        <v>1372905.9020110394</v>
      </c>
    </row>
    <row r="37" spans="1:21" s="33" customFormat="1" ht="12">
      <c r="A37" s="108" t="s">
        <v>79</v>
      </c>
      <c r="B37" s="167" t="s">
        <v>9</v>
      </c>
      <c r="C37" s="301" t="s">
        <v>0</v>
      </c>
      <c r="D37" s="302"/>
      <c r="E37" s="22">
        <f>E38+E39</f>
        <v>1249696.4722158895</v>
      </c>
      <c r="F37" s="22">
        <f t="shared" ref="F37:T37" si="8">F38+F39</f>
        <v>1249696.4722158895</v>
      </c>
      <c r="G37" s="22">
        <f t="shared" si="8"/>
        <v>1249696.4722158895</v>
      </c>
      <c r="H37" s="22">
        <f t="shared" si="8"/>
        <v>1249696.4722158895</v>
      </c>
      <c r="I37" s="22">
        <f t="shared" si="8"/>
        <v>1249696.4722158895</v>
      </c>
      <c r="J37" s="22">
        <f t="shared" si="8"/>
        <v>1249696.4722158895</v>
      </c>
      <c r="K37" s="22">
        <f t="shared" si="8"/>
        <v>1249696.4722158895</v>
      </c>
      <c r="L37" s="22">
        <f t="shared" si="8"/>
        <v>1249696.4722158895</v>
      </c>
      <c r="M37" s="22">
        <f t="shared" si="8"/>
        <v>1249696.4722158895</v>
      </c>
      <c r="N37" s="22">
        <f t="shared" si="8"/>
        <v>1249696.4722158895</v>
      </c>
      <c r="O37" s="22">
        <f t="shared" si="8"/>
        <v>1249696.4722158895</v>
      </c>
      <c r="P37" s="22">
        <f t="shared" si="8"/>
        <v>1249696.4722158895</v>
      </c>
      <c r="Q37" s="22">
        <f t="shared" si="8"/>
        <v>1249696.4722158895</v>
      </c>
      <c r="R37" s="22">
        <f t="shared" si="8"/>
        <v>1249696.4722158895</v>
      </c>
      <c r="S37" s="22">
        <f t="shared" si="8"/>
        <v>1249696.4722158895</v>
      </c>
      <c r="T37" s="22">
        <f t="shared" si="8"/>
        <v>1249696.4722158895</v>
      </c>
    </row>
    <row r="38" spans="1:21" s="6" customFormat="1" ht="12">
      <c r="A38" s="96" t="s">
        <v>154</v>
      </c>
      <c r="B38" s="113" t="s">
        <v>153</v>
      </c>
      <c r="C38" s="214" t="s">
        <v>0</v>
      </c>
      <c r="D38" s="300"/>
      <c r="E38" s="23">
        <f>Założenia!$F$229*Założenia!D330</f>
        <v>276716</v>
      </c>
      <c r="F38" s="23">
        <f>Założenia!$F$229*Założenia!E330</f>
        <v>276716</v>
      </c>
      <c r="G38" s="23">
        <f>Założenia!$F$229*Założenia!F330</f>
        <v>276716</v>
      </c>
      <c r="H38" s="23">
        <f>Założenia!$F$229*Założenia!G330</f>
        <v>276716</v>
      </c>
      <c r="I38" s="23">
        <f>Założenia!$F$229*Założenia!H330</f>
        <v>276716</v>
      </c>
      <c r="J38" s="23">
        <f>Założenia!$F$229*Założenia!I330</f>
        <v>276716</v>
      </c>
      <c r="K38" s="23">
        <f>Założenia!$F$229*Założenia!J330</f>
        <v>276716</v>
      </c>
      <c r="L38" s="23">
        <f>Założenia!$F$229*Założenia!K330</f>
        <v>276716</v>
      </c>
      <c r="M38" s="23">
        <f>Założenia!$F$229*Założenia!L330</f>
        <v>276716</v>
      </c>
      <c r="N38" s="23">
        <f>Założenia!$F$229*Założenia!M330</f>
        <v>276716</v>
      </c>
      <c r="O38" s="23">
        <f>Założenia!$F$229*Założenia!N330</f>
        <v>276716</v>
      </c>
      <c r="P38" s="23">
        <f>Założenia!$F$229*Założenia!O330</f>
        <v>276716</v>
      </c>
      <c r="Q38" s="23">
        <f>Założenia!$F$229*Założenia!P330</f>
        <v>276716</v>
      </c>
      <c r="R38" s="23">
        <f>Założenia!$F$229*Założenia!Q330</f>
        <v>276716</v>
      </c>
      <c r="S38" s="23">
        <f>Założenia!$F$229*Założenia!R330</f>
        <v>276716</v>
      </c>
      <c r="T38" s="23">
        <f>Założenia!$F$229*Założenia!S330</f>
        <v>276716</v>
      </c>
    </row>
    <row r="39" spans="1:21" s="6" customFormat="1" ht="12">
      <c r="A39" s="96" t="s">
        <v>155</v>
      </c>
      <c r="B39" s="113" t="s">
        <v>81</v>
      </c>
      <c r="C39" s="214" t="s">
        <v>0</v>
      </c>
      <c r="D39" s="300"/>
      <c r="E39" s="23">
        <f>Założenia!$E$220</f>
        <v>972980.47221588937</v>
      </c>
      <c r="F39" s="23">
        <f>Założenia!$E$220</f>
        <v>972980.47221588937</v>
      </c>
      <c r="G39" s="23">
        <f>Założenia!$E$220</f>
        <v>972980.47221588937</v>
      </c>
      <c r="H39" s="23">
        <f>Założenia!$E$220</f>
        <v>972980.47221588937</v>
      </c>
      <c r="I39" s="23">
        <f>Założenia!$E$220</f>
        <v>972980.47221588937</v>
      </c>
      <c r="J39" s="23">
        <f>Założenia!$E$220</f>
        <v>972980.47221588937</v>
      </c>
      <c r="K39" s="23">
        <f>Założenia!$E$220</f>
        <v>972980.47221588937</v>
      </c>
      <c r="L39" s="23">
        <f>Założenia!$E$220</f>
        <v>972980.47221588937</v>
      </c>
      <c r="M39" s="23">
        <f>Założenia!$E$220</f>
        <v>972980.47221588937</v>
      </c>
      <c r="N39" s="23">
        <f>Założenia!$E$220</f>
        <v>972980.47221588937</v>
      </c>
      <c r="O39" s="23">
        <f>Założenia!$E$220</f>
        <v>972980.47221588937</v>
      </c>
      <c r="P39" s="23">
        <f>Założenia!$E$220</f>
        <v>972980.47221588937</v>
      </c>
      <c r="Q39" s="23">
        <f>Założenia!$E$220</f>
        <v>972980.47221588937</v>
      </c>
      <c r="R39" s="23">
        <f>Założenia!$E$220</f>
        <v>972980.47221588937</v>
      </c>
      <c r="S39" s="23">
        <f>Założenia!$E$220</f>
        <v>972980.47221588937</v>
      </c>
      <c r="T39" s="23">
        <f>Założenia!$E$220</f>
        <v>972980.47221588937</v>
      </c>
    </row>
    <row r="40" spans="1:21" s="26" customFormat="1">
      <c r="A40" s="108" t="s">
        <v>420</v>
      </c>
      <c r="B40" s="299" t="s">
        <v>455</v>
      </c>
      <c r="C40" s="214" t="s">
        <v>0</v>
      </c>
      <c r="D40" s="300"/>
      <c r="E40" s="125">
        <f>Założenia!$E222</f>
        <v>1348716.5378980758</v>
      </c>
      <c r="F40" s="125">
        <f>Założenia!$E222</f>
        <v>1348716.5378980758</v>
      </c>
      <c r="G40" s="125">
        <f>Założenia!$E222</f>
        <v>1348716.5378980758</v>
      </c>
      <c r="H40" s="125">
        <f>Założenia!$E222</f>
        <v>1348716.5378980758</v>
      </c>
      <c r="I40" s="125">
        <f>Założenia!$E222</f>
        <v>1348716.5378980758</v>
      </c>
      <c r="J40" s="125">
        <f>Założenia!$E222</f>
        <v>1348716.5378980758</v>
      </c>
      <c r="K40" s="125">
        <f>Założenia!$E222</f>
        <v>1348716.5378980758</v>
      </c>
      <c r="L40" s="125">
        <f>Założenia!$E222</f>
        <v>1348716.5378980758</v>
      </c>
      <c r="M40" s="125">
        <f>Założenia!$E222</f>
        <v>1348716.5378980758</v>
      </c>
      <c r="N40" s="125">
        <f>Założenia!$E222</f>
        <v>1348716.5378980758</v>
      </c>
      <c r="O40" s="125">
        <f>Założenia!$E222</f>
        <v>1348716.5378980758</v>
      </c>
      <c r="P40" s="125">
        <f>Założenia!$E222</f>
        <v>1348716.5378980758</v>
      </c>
      <c r="Q40" s="125">
        <f>Założenia!$E222</f>
        <v>1348716.5378980758</v>
      </c>
      <c r="R40" s="125">
        <f>Założenia!$E222</f>
        <v>1348716.5378980758</v>
      </c>
      <c r="S40" s="125">
        <f>Założenia!$E222</f>
        <v>1348716.5378980758</v>
      </c>
      <c r="T40" s="125">
        <f>Założenia!$E222</f>
        <v>1348716.5378980758</v>
      </c>
      <c r="U40" s="13"/>
    </row>
    <row r="41" spans="1:21" s="26" customFormat="1">
      <c r="A41" s="13"/>
      <c r="B41" s="303"/>
      <c r="C41" s="304"/>
      <c r="D41" s="304"/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5"/>
      <c r="T41" s="305"/>
      <c r="U41" s="13"/>
    </row>
    <row r="42" spans="1:21" s="1" customFormat="1" ht="12">
      <c r="A42" s="269" t="s">
        <v>26</v>
      </c>
      <c r="B42" s="95" t="s">
        <v>220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1" s="26" customFormat="1">
      <c r="A43" s="108" t="s">
        <v>34</v>
      </c>
      <c r="B43" s="166" t="s">
        <v>158</v>
      </c>
      <c r="C43" s="214" t="s">
        <v>0</v>
      </c>
      <c r="D43" s="301"/>
      <c r="E43" s="107">
        <f t="shared" ref="E43:T43" si="9">E45*E50</f>
        <v>225256.51018104475</v>
      </c>
      <c r="F43" s="107">
        <f t="shared" si="9"/>
        <v>231883.87581948366</v>
      </c>
      <c r="G43" s="107">
        <f t="shared" si="9"/>
        <v>238325.09459224716</v>
      </c>
      <c r="H43" s="107">
        <f t="shared" si="9"/>
        <v>244766.31336501052</v>
      </c>
      <c r="I43" s="107">
        <f t="shared" si="9"/>
        <v>251207.53213777402</v>
      </c>
      <c r="J43" s="107">
        <f t="shared" si="9"/>
        <v>257648.75091053743</v>
      </c>
      <c r="K43" s="107">
        <f t="shared" si="9"/>
        <v>264089.96968330088</v>
      </c>
      <c r="L43" s="107">
        <f t="shared" si="9"/>
        <v>333298.56837711704</v>
      </c>
      <c r="M43" s="107">
        <f t="shared" si="9"/>
        <v>337045.98604272678</v>
      </c>
      <c r="N43" s="107">
        <f t="shared" si="9"/>
        <v>340598.60079978564</v>
      </c>
      <c r="O43" s="107">
        <f t="shared" si="9"/>
        <v>340449.96029437624</v>
      </c>
      <c r="P43" s="107">
        <f t="shared" si="9"/>
        <v>339950.6745535754</v>
      </c>
      <c r="Q43" s="107">
        <f t="shared" si="9"/>
        <v>339100.74357738259</v>
      </c>
      <c r="R43" s="107">
        <f t="shared" si="9"/>
        <v>337900.1673657982</v>
      </c>
      <c r="S43" s="107">
        <f t="shared" si="9"/>
        <v>336348.94591882208</v>
      </c>
      <c r="T43" s="107">
        <f t="shared" si="9"/>
        <v>332255.54651525611</v>
      </c>
      <c r="U43" s="13"/>
    </row>
    <row r="44" spans="1:21" s="26" customFormat="1" ht="13.5">
      <c r="A44" s="96"/>
      <c r="B44" s="112" t="s">
        <v>382</v>
      </c>
      <c r="C44" s="214" t="s">
        <v>171</v>
      </c>
      <c r="D44" s="214"/>
      <c r="E44" s="173">
        <f>Założenia!E114</f>
        <v>2.68</v>
      </c>
      <c r="F44" s="173">
        <f>Założenia!F114</f>
        <v>2.68</v>
      </c>
      <c r="G44" s="173">
        <f>Założenia!G114</f>
        <v>2.68</v>
      </c>
      <c r="H44" s="173">
        <f>Założenia!H114</f>
        <v>2.68</v>
      </c>
      <c r="I44" s="173">
        <f>Założenia!I114</f>
        <v>2.68</v>
      </c>
      <c r="J44" s="173">
        <f>Założenia!J114</f>
        <v>2.68</v>
      </c>
      <c r="K44" s="173">
        <f>Założenia!K114</f>
        <v>2.68</v>
      </c>
      <c r="L44" s="173">
        <f>Założenia!L114</f>
        <v>2.68</v>
      </c>
      <c r="M44" s="173">
        <f>Założenia!M114</f>
        <v>2.68</v>
      </c>
      <c r="N44" s="173">
        <f>Założenia!N114</f>
        <v>2.68</v>
      </c>
      <c r="O44" s="173">
        <f>Założenia!O114</f>
        <v>2.68</v>
      </c>
      <c r="P44" s="173">
        <f>Założenia!P114</f>
        <v>2.68</v>
      </c>
      <c r="Q44" s="173">
        <f>Założenia!Q114</f>
        <v>2.68</v>
      </c>
      <c r="R44" s="173">
        <f>Założenia!R114</f>
        <v>2.68</v>
      </c>
      <c r="S44" s="173">
        <f>Założenia!S114</f>
        <v>2.68</v>
      </c>
      <c r="T44" s="173">
        <f>Założenia!T114</f>
        <v>2.68</v>
      </c>
      <c r="U44" s="13"/>
    </row>
    <row r="45" spans="1:21" s="26" customFormat="1" ht="13.5">
      <c r="A45" s="96"/>
      <c r="B45" s="112" t="s">
        <v>156</v>
      </c>
      <c r="C45" s="214" t="s">
        <v>157</v>
      </c>
      <c r="D45" s="214"/>
      <c r="E45" s="174">
        <f>Założenia!E115</f>
        <v>188.60725391508436</v>
      </c>
      <c r="F45" s="174">
        <f>Założenia!F115</f>
        <v>193.99603259837247</v>
      </c>
      <c r="G45" s="174">
        <f>Założenia!G115</f>
        <v>199.38481128166063</v>
      </c>
      <c r="H45" s="174">
        <f>Założenia!H115</f>
        <v>204.77358996494871</v>
      </c>
      <c r="I45" s="174">
        <f>Założenia!I115</f>
        <v>210.16236864823688</v>
      </c>
      <c r="J45" s="174">
        <f>Założenia!J115</f>
        <v>215.55114733152499</v>
      </c>
      <c r="K45" s="174">
        <f>Założenia!K115</f>
        <v>220.93992601481312</v>
      </c>
      <c r="L45" s="174">
        <f>Założenia!L115</f>
        <v>226.32870469810123</v>
      </c>
      <c r="M45" s="174">
        <f>Założenia!M115</f>
        <v>231.71748338138934</v>
      </c>
      <c r="N45" s="174">
        <f>Założenia!N115</f>
        <v>237.10626206467751</v>
      </c>
      <c r="O45" s="174">
        <f>Założenia!O115</f>
        <v>242.49504074796559</v>
      </c>
      <c r="P45" s="174">
        <f>Założenia!P115</f>
        <v>247.88381943125376</v>
      </c>
      <c r="Q45" s="174">
        <f>Założenia!Q115</f>
        <v>253.27259811454186</v>
      </c>
      <c r="R45" s="174">
        <f>Założenia!R115</f>
        <v>258.66137679782997</v>
      </c>
      <c r="S45" s="174">
        <f>Założenia!S115</f>
        <v>264.05015548111811</v>
      </c>
      <c r="T45" s="174">
        <f>Założenia!T115</f>
        <v>269.43893416440625</v>
      </c>
      <c r="U45" s="13"/>
    </row>
    <row r="46" spans="1:21" s="26" customFormat="1">
      <c r="A46" s="96"/>
      <c r="B46" s="112" t="s">
        <v>461</v>
      </c>
      <c r="C46" s="214" t="s">
        <v>136</v>
      </c>
      <c r="D46" s="214"/>
      <c r="E46" s="106">
        <f>Założenia!D349</f>
        <v>52086.956521739128</v>
      </c>
      <c r="F46" s="106">
        <f>Założenia!E349</f>
        <v>52130</v>
      </c>
      <c r="G46" s="106">
        <f>Założenia!F349</f>
        <v>52130</v>
      </c>
      <c r="H46" s="106">
        <f>Założenia!G349</f>
        <v>52130</v>
      </c>
      <c r="I46" s="106">
        <f>Założenia!H349</f>
        <v>52130</v>
      </c>
      <c r="J46" s="106">
        <f>Założenia!I349</f>
        <v>52130</v>
      </c>
      <c r="K46" s="106">
        <f>Założenia!J349</f>
        <v>52130</v>
      </c>
      <c r="L46" s="106">
        <f>Założenia!K349</f>
        <v>53820</v>
      </c>
      <c r="M46" s="106">
        <f>Założenia!L349</f>
        <v>53820</v>
      </c>
      <c r="N46" s="106">
        <f>Założenia!M349</f>
        <v>53820</v>
      </c>
      <c r="O46" s="106">
        <f>Założenia!N349</f>
        <v>53820</v>
      </c>
      <c r="P46" s="106">
        <f>Założenia!O349</f>
        <v>53820</v>
      </c>
      <c r="Q46" s="106">
        <f>Założenia!P349</f>
        <v>53820</v>
      </c>
      <c r="R46" s="106">
        <f>Założenia!Q349</f>
        <v>53820</v>
      </c>
      <c r="S46" s="106">
        <f>Założenia!R349</f>
        <v>53820</v>
      </c>
      <c r="T46" s="106">
        <f>Założenia!S349</f>
        <v>53820</v>
      </c>
      <c r="U46" s="13"/>
    </row>
    <row r="47" spans="1:21" s="26" customFormat="1">
      <c r="A47" s="96"/>
      <c r="B47" s="112" t="s">
        <v>458</v>
      </c>
      <c r="C47" s="214" t="s">
        <v>136</v>
      </c>
      <c r="D47" s="214"/>
      <c r="E47" s="106">
        <f>Założenia!D350</f>
        <v>55555.555555555555</v>
      </c>
      <c r="F47" s="106">
        <f>Założenia!E350</f>
        <v>55601.465405305142</v>
      </c>
      <c r="G47" s="106">
        <f>Założenia!F350</f>
        <v>55601.465405305142</v>
      </c>
      <c r="H47" s="106">
        <f>Założenia!G350</f>
        <v>55601.465405305142</v>
      </c>
      <c r="I47" s="106">
        <f>Założenia!H350</f>
        <v>55601.465405305142</v>
      </c>
      <c r="J47" s="106">
        <f>Założenia!I350</f>
        <v>55601.465405305142</v>
      </c>
      <c r="K47" s="106">
        <f>Założenia!J350</f>
        <v>55601.465405305142</v>
      </c>
      <c r="L47" s="106">
        <f>Założenia!K350</f>
        <v>57404.006677796337</v>
      </c>
      <c r="M47" s="106">
        <f>Założenia!L350</f>
        <v>57404.006677796337</v>
      </c>
      <c r="N47" s="106">
        <f>Założenia!M350</f>
        <v>57404.006677796337</v>
      </c>
      <c r="O47" s="106">
        <f>Założenia!N350</f>
        <v>57404.006677796337</v>
      </c>
      <c r="P47" s="106">
        <f>Założenia!O350</f>
        <v>57404.006677796337</v>
      </c>
      <c r="Q47" s="106">
        <f>Założenia!P350</f>
        <v>57404.006677796337</v>
      </c>
      <c r="R47" s="106">
        <f>Założenia!Q350</f>
        <v>57404.006677796337</v>
      </c>
      <c r="S47" s="106">
        <f>Założenia!R350</f>
        <v>57404.006677796337</v>
      </c>
      <c r="T47" s="106">
        <f>Założenia!S350</f>
        <v>57404.006677796337</v>
      </c>
      <c r="U47" s="13"/>
    </row>
    <row r="48" spans="1:21" s="26" customFormat="1">
      <c r="A48" s="96"/>
      <c r="B48" s="112" t="s">
        <v>459</v>
      </c>
      <c r="C48" s="214" t="s">
        <v>136</v>
      </c>
      <c r="D48" s="214"/>
      <c r="E48" s="106">
        <f>Założenia!D351</f>
        <v>0</v>
      </c>
      <c r="F48" s="106">
        <f>Założenia!E351</f>
        <v>0</v>
      </c>
      <c r="G48" s="106">
        <f>Założenia!F351</f>
        <v>0</v>
      </c>
      <c r="H48" s="106">
        <f>Założenia!G351</f>
        <v>0</v>
      </c>
      <c r="I48" s="106">
        <f>Założenia!H351</f>
        <v>0</v>
      </c>
      <c r="J48" s="106">
        <f>Założenia!I351</f>
        <v>0</v>
      </c>
      <c r="K48" s="106">
        <f>Założenia!J351</f>
        <v>0</v>
      </c>
      <c r="L48" s="106">
        <f>Założenia!K351</f>
        <v>0</v>
      </c>
      <c r="M48" s="106">
        <f>Założenia!L351</f>
        <v>0</v>
      </c>
      <c r="N48" s="106">
        <f>Założenia!M351</f>
        <v>0</v>
      </c>
      <c r="O48" s="106">
        <f>Założenia!N351</f>
        <v>0</v>
      </c>
      <c r="P48" s="106">
        <f>Założenia!O351</f>
        <v>0</v>
      </c>
      <c r="Q48" s="106">
        <f>Założenia!P351</f>
        <v>0</v>
      </c>
      <c r="R48" s="106">
        <f>Założenia!Q351</f>
        <v>0</v>
      </c>
      <c r="S48" s="106">
        <f>Założenia!R351</f>
        <v>0</v>
      </c>
      <c r="T48" s="106">
        <f>Założenia!S351</f>
        <v>0</v>
      </c>
      <c r="U48" s="13"/>
    </row>
    <row r="49" spans="1:21" s="26" customFormat="1">
      <c r="A49" s="96"/>
      <c r="B49" s="112" t="s">
        <v>460</v>
      </c>
      <c r="C49" s="214" t="s">
        <v>136</v>
      </c>
      <c r="D49" s="214"/>
      <c r="E49" s="106">
        <f>Założenia!D352</f>
        <v>0</v>
      </c>
      <c r="F49" s="106">
        <f>Założenia!E352</f>
        <v>0</v>
      </c>
      <c r="G49" s="106">
        <f>Założenia!F352</f>
        <v>0</v>
      </c>
      <c r="H49" s="106">
        <f>Założenia!G352</f>
        <v>0</v>
      </c>
      <c r="I49" s="106">
        <f>Założenia!H352</f>
        <v>0</v>
      </c>
      <c r="J49" s="106">
        <f>Założenia!I352</f>
        <v>0</v>
      </c>
      <c r="K49" s="106">
        <f>Założenia!J352</f>
        <v>0</v>
      </c>
      <c r="L49" s="106">
        <f>Założenia!K352</f>
        <v>50000</v>
      </c>
      <c r="M49" s="106">
        <f>Założenia!L352</f>
        <v>50000</v>
      </c>
      <c r="N49" s="106">
        <f>Założenia!M352</f>
        <v>50000</v>
      </c>
      <c r="O49" s="106">
        <f>Założenia!N352</f>
        <v>50000</v>
      </c>
      <c r="P49" s="106">
        <f>Założenia!O352</f>
        <v>50000</v>
      </c>
      <c r="Q49" s="106">
        <f>Założenia!P352</f>
        <v>50000</v>
      </c>
      <c r="R49" s="106">
        <f>Założenia!Q352</f>
        <v>50000</v>
      </c>
      <c r="S49" s="106">
        <f>Założenia!R352</f>
        <v>50000</v>
      </c>
      <c r="T49" s="106">
        <f>Założenia!S352</f>
        <v>50000</v>
      </c>
      <c r="U49" s="13"/>
    </row>
    <row r="50" spans="1:21" s="26" customFormat="1" ht="13.5">
      <c r="A50" s="96"/>
      <c r="B50" s="112" t="s">
        <v>225</v>
      </c>
      <c r="C50" s="214" t="s">
        <v>217</v>
      </c>
      <c r="D50" s="214"/>
      <c r="E50" s="106">
        <f>E51+E59</f>
        <v>1194.3152</v>
      </c>
      <c r="F50" s="106">
        <f t="shared" ref="F50:T50" si="10">F51+F59</f>
        <v>1195.3021549649416</v>
      </c>
      <c r="G50" s="106">
        <f t="shared" si="10"/>
        <v>1195.3021549649416</v>
      </c>
      <c r="H50" s="106">
        <f t="shared" si="10"/>
        <v>1195.3021549649416</v>
      </c>
      <c r="I50" s="106">
        <f t="shared" si="10"/>
        <v>1195.3021549649416</v>
      </c>
      <c r="J50" s="106">
        <f t="shared" si="10"/>
        <v>1195.3021549649416</v>
      </c>
      <c r="K50" s="106">
        <f t="shared" si="10"/>
        <v>1195.3021549649416</v>
      </c>
      <c r="L50" s="106">
        <f t="shared" si="10"/>
        <v>1472.6305654499388</v>
      </c>
      <c r="M50" s="106">
        <f t="shared" si="10"/>
        <v>1454.5556991397784</v>
      </c>
      <c r="N50" s="106">
        <f t="shared" si="10"/>
        <v>1436.4808328296181</v>
      </c>
      <c r="O50" s="106">
        <f t="shared" si="10"/>
        <v>1403.9460734713291</v>
      </c>
      <c r="P50" s="106">
        <f t="shared" si="10"/>
        <v>1371.4113141130406</v>
      </c>
      <c r="Q50" s="106">
        <f t="shared" si="10"/>
        <v>1338.8765547547516</v>
      </c>
      <c r="R50" s="106">
        <f t="shared" si="10"/>
        <v>1306.3417953964629</v>
      </c>
      <c r="S50" s="106">
        <f t="shared" si="10"/>
        <v>1273.8070360381741</v>
      </c>
      <c r="T50" s="106">
        <f t="shared" si="10"/>
        <v>1233.1385868403131</v>
      </c>
      <c r="U50" s="13"/>
    </row>
    <row r="51" spans="1:21" s="26" customFormat="1" ht="15">
      <c r="A51" s="96"/>
      <c r="B51" s="166" t="s">
        <v>343</v>
      </c>
      <c r="C51" s="214" t="s">
        <v>351</v>
      </c>
      <c r="D51" s="214"/>
      <c r="E51" s="106">
        <f>SUM(E52:E58)</f>
        <v>1194.3152</v>
      </c>
      <c r="F51" s="106">
        <f t="shared" ref="F51:T51" si="11">SUM(F52:F58)</f>
        <v>1195.3021549649416</v>
      </c>
      <c r="G51" s="106">
        <f t="shared" si="11"/>
        <v>1195.3021549649416</v>
      </c>
      <c r="H51" s="106">
        <f t="shared" si="11"/>
        <v>1195.3021549649416</v>
      </c>
      <c r="I51" s="106">
        <f t="shared" si="11"/>
        <v>1195.3021549649416</v>
      </c>
      <c r="J51" s="106">
        <f t="shared" si="11"/>
        <v>1195.3021549649416</v>
      </c>
      <c r="K51" s="106">
        <f t="shared" si="11"/>
        <v>1195.3021549649416</v>
      </c>
      <c r="L51" s="106">
        <f t="shared" si="11"/>
        <v>840.01024459432392</v>
      </c>
      <c r="M51" s="106">
        <f t="shared" si="11"/>
        <v>840.01024459432392</v>
      </c>
      <c r="N51" s="106">
        <f t="shared" si="11"/>
        <v>840.01024459432392</v>
      </c>
      <c r="O51" s="106">
        <f t="shared" si="11"/>
        <v>840.01024459432392</v>
      </c>
      <c r="P51" s="106">
        <f t="shared" si="11"/>
        <v>840.01024459432392</v>
      </c>
      <c r="Q51" s="106">
        <f t="shared" si="11"/>
        <v>840.01024459432392</v>
      </c>
      <c r="R51" s="106">
        <f t="shared" si="11"/>
        <v>840.01024459432392</v>
      </c>
      <c r="S51" s="106">
        <f t="shared" si="11"/>
        <v>840.01024459432392</v>
      </c>
      <c r="T51" s="106">
        <f t="shared" si="11"/>
        <v>840.01024459432392</v>
      </c>
      <c r="U51" s="13"/>
    </row>
    <row r="52" spans="1:21" s="26" customFormat="1" ht="15">
      <c r="A52" s="96"/>
      <c r="B52" s="109" t="s">
        <v>426</v>
      </c>
      <c r="C52" s="214" t="s">
        <v>351</v>
      </c>
      <c r="D52" s="214"/>
      <c r="E52" s="106">
        <f>Założenia!D334*E$47*E$44/1000*Założenia!$G53/100</f>
        <v>0</v>
      </c>
      <c r="F52" s="106">
        <f>Założenia!E334*F$47*F$44/1000*Założenia!$G53/100</f>
        <v>0</v>
      </c>
      <c r="G52" s="106">
        <f>Założenia!F334*G$47*G$44/1000*Założenia!$G53/100</f>
        <v>0</v>
      </c>
      <c r="H52" s="106">
        <f>Założenia!G334*H$47*H$44/1000*Założenia!$G53/100</f>
        <v>0</v>
      </c>
      <c r="I52" s="106">
        <f>Założenia!H334*I$47*I$44/1000*Założenia!$G53/100</f>
        <v>0</v>
      </c>
      <c r="J52" s="106">
        <f>Założenia!I334*J$47*J$44/1000*Założenia!$G53/100</f>
        <v>0</v>
      </c>
      <c r="K52" s="106">
        <f>Założenia!J334*K$47*K$44/1000*Założenia!$G53/100</f>
        <v>0</v>
      </c>
      <c r="L52" s="106">
        <f>Założenia!K334*L$47*L$44/1000*Założenia!$G53/100</f>
        <v>0</v>
      </c>
      <c r="M52" s="106">
        <f>Założenia!L334*M$47*M$44/1000*Założenia!$G53/100</f>
        <v>0</v>
      </c>
      <c r="N52" s="106">
        <f>Założenia!M334*N$47*N$44/1000*Założenia!$G53/100</f>
        <v>0</v>
      </c>
      <c r="O52" s="106">
        <f>Założenia!N334*O$47*O$44/1000*Założenia!$G53/100</f>
        <v>0</v>
      </c>
      <c r="P52" s="106">
        <f>Założenia!O334*P$47*P$44/1000*Założenia!$G53/100</f>
        <v>0</v>
      </c>
      <c r="Q52" s="106">
        <f>Założenia!P334*Q$47*Q$44/1000*Założenia!$G53/100</f>
        <v>0</v>
      </c>
      <c r="R52" s="106">
        <f>Założenia!Q334*R$47*R$44/1000*Założenia!$G53/100</f>
        <v>0</v>
      </c>
      <c r="S52" s="106">
        <f>Założenia!R334*S$47*S$44/1000*Założenia!$G53/100</f>
        <v>0</v>
      </c>
      <c r="T52" s="106">
        <f>Założenia!S334*T$47*T$44/1000*Założenia!$G53/100</f>
        <v>0</v>
      </c>
      <c r="U52" s="13"/>
    </row>
    <row r="53" spans="1:21" s="1" customFormat="1" ht="15">
      <c r="A53" s="96"/>
      <c r="B53" s="109" t="s">
        <v>432</v>
      </c>
      <c r="C53" s="214" t="s">
        <v>351</v>
      </c>
      <c r="D53" s="300"/>
      <c r="E53" s="106">
        <f>Założenia!D335*E$47*E$44/1000*Założenia!$G54/100</f>
        <v>0</v>
      </c>
      <c r="F53" s="106">
        <f>Założenia!E335*F$47*F$44/1000*Założenia!$G54/100</f>
        <v>0</v>
      </c>
      <c r="G53" s="106">
        <f>Założenia!F335*G$47*G$44/1000*Założenia!$G54/100</f>
        <v>0</v>
      </c>
      <c r="H53" s="106">
        <f>Założenia!G335*H$47*H$44/1000*Założenia!$G54/100</f>
        <v>0</v>
      </c>
      <c r="I53" s="106">
        <f>Założenia!H335*I$47*I$44/1000*Założenia!$G54/100</f>
        <v>0</v>
      </c>
      <c r="J53" s="106">
        <f>Założenia!I335*J$47*J$44/1000*Założenia!$G54/100</f>
        <v>0</v>
      </c>
      <c r="K53" s="106">
        <f>Założenia!J335*K$47*K$44/1000*Założenia!$G54/100</f>
        <v>0</v>
      </c>
      <c r="L53" s="106">
        <f>Założenia!K335*L$47*L$44/1000*Założenia!$G54/100</f>
        <v>0</v>
      </c>
      <c r="M53" s="106">
        <f>Założenia!L335*M$47*M$44/1000*Założenia!$G54/100</f>
        <v>0</v>
      </c>
      <c r="N53" s="106">
        <f>Założenia!M335*N$47*N$44/1000*Założenia!$G54/100</f>
        <v>0</v>
      </c>
      <c r="O53" s="106">
        <f>Założenia!N335*O$47*O$44/1000*Założenia!$G54/100</f>
        <v>0</v>
      </c>
      <c r="P53" s="106">
        <f>Założenia!O335*P$47*P$44/1000*Założenia!$G54/100</f>
        <v>0</v>
      </c>
      <c r="Q53" s="106">
        <f>Założenia!P335*Q$47*Q$44/1000*Założenia!$G54/100</f>
        <v>0</v>
      </c>
      <c r="R53" s="106">
        <f>Założenia!Q335*R$47*R$44/1000*Założenia!$G54/100</f>
        <v>0</v>
      </c>
      <c r="S53" s="106">
        <f>Założenia!R335*S$47*S$44/1000*Założenia!$G54/100</f>
        <v>0</v>
      </c>
      <c r="T53" s="106">
        <f>Założenia!S335*T$47*T$44/1000*Założenia!$G54/100</f>
        <v>0</v>
      </c>
    </row>
    <row r="54" spans="1:21" s="1" customFormat="1" ht="15">
      <c r="A54" s="96"/>
      <c r="B54" s="109" t="s">
        <v>427</v>
      </c>
      <c r="C54" s="214" t="s">
        <v>351</v>
      </c>
      <c r="D54" s="300"/>
      <c r="E54" s="106">
        <f>Założenia!D336*E$47*E$44/1000*Założenia!$G55/100</f>
        <v>0</v>
      </c>
      <c r="F54" s="106">
        <f>Założenia!E336*F$47*F$44/1000*Założenia!$G55/100</f>
        <v>0</v>
      </c>
      <c r="G54" s="106">
        <f>Założenia!F336*G$47*G$44/1000*Założenia!$G55/100</f>
        <v>0</v>
      </c>
      <c r="H54" s="106">
        <f>Założenia!G336*H$47*H$44/1000*Założenia!$G55/100</f>
        <v>0</v>
      </c>
      <c r="I54" s="106">
        <f>Założenia!H336*I$47*I$44/1000*Założenia!$G55/100</f>
        <v>0</v>
      </c>
      <c r="J54" s="106">
        <f>Założenia!I336*J$47*J$44/1000*Założenia!$G55/100</f>
        <v>0</v>
      </c>
      <c r="K54" s="106">
        <f>Założenia!J336*K$47*K$44/1000*Założenia!$G55/100</f>
        <v>0</v>
      </c>
      <c r="L54" s="106">
        <f>Założenia!K336*L$47*L$44/1000*Założenia!$G55/100</f>
        <v>0</v>
      </c>
      <c r="M54" s="106">
        <f>Założenia!L336*M$47*M$44/1000*Założenia!$G55/100</f>
        <v>0</v>
      </c>
      <c r="N54" s="106">
        <f>Założenia!M336*N$47*N$44/1000*Założenia!$G55/100</f>
        <v>0</v>
      </c>
      <c r="O54" s="106">
        <f>Założenia!N336*O$47*O$44/1000*Założenia!$G55/100</f>
        <v>0</v>
      </c>
      <c r="P54" s="106">
        <f>Założenia!O336*P$47*P$44/1000*Założenia!$G55/100</f>
        <v>0</v>
      </c>
      <c r="Q54" s="106">
        <f>Założenia!P336*Q$47*Q$44/1000*Założenia!$G55/100</f>
        <v>0</v>
      </c>
      <c r="R54" s="106">
        <f>Założenia!Q336*R$47*R$44/1000*Założenia!$G55/100</f>
        <v>0</v>
      </c>
      <c r="S54" s="106">
        <f>Założenia!R336*S$47*S$44/1000*Założenia!$G55/100</f>
        <v>0</v>
      </c>
      <c r="T54" s="106">
        <f>Założenia!S336*T$47*T$44/1000*Założenia!$G55/100</f>
        <v>0</v>
      </c>
    </row>
    <row r="55" spans="1:21" s="1" customFormat="1" ht="15">
      <c r="A55" s="96"/>
      <c r="B55" s="109" t="s">
        <v>428</v>
      </c>
      <c r="C55" s="214" t="s">
        <v>351</v>
      </c>
      <c r="D55" s="300"/>
      <c r="E55" s="106">
        <f>Założenia!D337*E$47*E$44/1000*Założenia!$G56/100</f>
        <v>0</v>
      </c>
      <c r="F55" s="106">
        <f>Założenia!E337*F$47*F$44/1000*Założenia!$G56/100</f>
        <v>0</v>
      </c>
      <c r="G55" s="106">
        <f>Założenia!F337*G$47*G$44/1000*Założenia!$G56/100</f>
        <v>0</v>
      </c>
      <c r="H55" s="106">
        <f>Założenia!G337*H$47*H$44/1000*Założenia!$G56/100</f>
        <v>0</v>
      </c>
      <c r="I55" s="106">
        <f>Założenia!H337*I$47*I$44/1000*Założenia!$G56/100</f>
        <v>0</v>
      </c>
      <c r="J55" s="106">
        <f>Założenia!I337*J$47*J$44/1000*Założenia!$G56/100</f>
        <v>0</v>
      </c>
      <c r="K55" s="106">
        <f>Założenia!J337*K$47*K$44/1000*Założenia!$G56/100</f>
        <v>0</v>
      </c>
      <c r="L55" s="106">
        <f>Założenia!K337*L$47*L$44/1000*Założenia!$G56/100</f>
        <v>0</v>
      </c>
      <c r="M55" s="106">
        <f>Założenia!L337*M$47*M$44/1000*Założenia!$G56/100</f>
        <v>0</v>
      </c>
      <c r="N55" s="106">
        <f>Założenia!M337*N$47*N$44/1000*Założenia!$G56/100</f>
        <v>0</v>
      </c>
      <c r="O55" s="106">
        <f>Założenia!N337*O$47*O$44/1000*Założenia!$G56/100</f>
        <v>0</v>
      </c>
      <c r="P55" s="106">
        <f>Założenia!O337*P$47*P$44/1000*Założenia!$G56/100</f>
        <v>0</v>
      </c>
      <c r="Q55" s="106">
        <f>Założenia!P337*Q$47*Q$44/1000*Założenia!$G56/100</f>
        <v>0</v>
      </c>
      <c r="R55" s="106">
        <f>Założenia!Q337*R$47*R$44/1000*Założenia!$G56/100</f>
        <v>0</v>
      </c>
      <c r="S55" s="106">
        <f>Założenia!R337*S$47*S$44/1000*Założenia!$G56/100</f>
        <v>0</v>
      </c>
      <c r="T55" s="106">
        <f>Założenia!S337*T$47*T$44/1000*Założenia!$G56/100</f>
        <v>0</v>
      </c>
    </row>
    <row r="56" spans="1:21" s="1" customFormat="1" ht="13.5">
      <c r="A56" s="96"/>
      <c r="B56" s="109" t="s">
        <v>429</v>
      </c>
      <c r="C56" s="214" t="s">
        <v>217</v>
      </c>
      <c r="D56" s="300"/>
      <c r="E56" s="106">
        <f>Założenia!D338*E$47*E$44/1000*Założenia!$G57/100</f>
        <v>0</v>
      </c>
      <c r="F56" s="106">
        <f>Założenia!E338*F$47*F$44/1000*Założenia!$G57/100</f>
        <v>0</v>
      </c>
      <c r="G56" s="106">
        <f>Założenia!F338*G$47*G$44/1000*Założenia!$G57/100</f>
        <v>0</v>
      </c>
      <c r="H56" s="106">
        <f>Założenia!G338*H$47*H$44/1000*Założenia!$G57/100</f>
        <v>0</v>
      </c>
      <c r="I56" s="106">
        <f>Założenia!H338*I$47*I$44/1000*Założenia!$G57/100</f>
        <v>0</v>
      </c>
      <c r="J56" s="106">
        <f>Założenia!I338*J$47*J$44/1000*Założenia!$G57/100</f>
        <v>0</v>
      </c>
      <c r="K56" s="106">
        <f>Założenia!J338*K$47*K$44/1000*Założenia!$G57/100</f>
        <v>0</v>
      </c>
      <c r="L56" s="106">
        <f>Założenia!K338*L$47*L$44/1000*Założenia!$G57/100</f>
        <v>0</v>
      </c>
      <c r="M56" s="106">
        <f>Założenia!L338*M$47*M$44/1000*Założenia!$G57/100</f>
        <v>0</v>
      </c>
      <c r="N56" s="106">
        <f>Założenia!M338*N$47*N$44/1000*Założenia!$G57/100</f>
        <v>0</v>
      </c>
      <c r="O56" s="106">
        <f>Założenia!N338*O$47*O$44/1000*Założenia!$G57/100</f>
        <v>0</v>
      </c>
      <c r="P56" s="106">
        <f>Założenia!O338*P$47*P$44/1000*Założenia!$G57/100</f>
        <v>0</v>
      </c>
      <c r="Q56" s="106">
        <f>Założenia!P338*Q$47*Q$44/1000*Założenia!$G57/100</f>
        <v>0</v>
      </c>
      <c r="R56" s="106">
        <f>Założenia!Q338*R$47*R$44/1000*Założenia!$G57/100</f>
        <v>0</v>
      </c>
      <c r="S56" s="106">
        <f>Założenia!R338*S$47*S$44/1000*Założenia!$G57/100</f>
        <v>0</v>
      </c>
      <c r="T56" s="106">
        <f>Założenia!S338*T$47*T$44/1000*Założenia!$G57/100</f>
        <v>0</v>
      </c>
    </row>
    <row r="57" spans="1:21" s="1" customFormat="1" ht="13.5">
      <c r="A57" s="96"/>
      <c r="B57" s="109" t="s">
        <v>430</v>
      </c>
      <c r="C57" s="214" t="s">
        <v>217</v>
      </c>
      <c r="D57" s="300"/>
      <c r="E57" s="539">
        <f>Założenia!D339*E$47*E$44/1000*Założenia!$G58/100+Założenia!D331*E$46*E$44/1000*Założenia!$E58/100</f>
        <v>1194.3152</v>
      </c>
      <c r="F57" s="539">
        <f>Założenia!E339*F$47*F$44/1000*Założenia!$G58/100+Założenia!E331*F$46*F$44/1000*Założenia!$E58/100</f>
        <v>1195.3021549649416</v>
      </c>
      <c r="G57" s="539">
        <f>Założenia!F339*G$47*G$44/1000*Założenia!$G58/100+Założenia!F331*G$46*G$44/1000*Założenia!$E58/100</f>
        <v>1195.3021549649416</v>
      </c>
      <c r="H57" s="539">
        <f>Założenia!G339*H$47*H$44/1000*Założenia!$G58/100+Założenia!G331*H$46*H$44/1000*Założenia!$E58/100</f>
        <v>1195.3021549649416</v>
      </c>
      <c r="I57" s="539">
        <f>Założenia!H339*I$47*I$44/1000*Założenia!$G58/100+Założenia!H331*I$46*I$44/1000*Założenia!$E58/100</f>
        <v>1195.3021549649416</v>
      </c>
      <c r="J57" s="539">
        <f>Założenia!I339*J$47*J$44/1000*Założenia!$G58/100+Założenia!I331*J$46*J$44/1000*Założenia!$E58/100</f>
        <v>1195.3021549649416</v>
      </c>
      <c r="K57" s="539">
        <f>Założenia!J339*K$47*K$44/1000*Założenia!$G58/100+Założenia!J331*K$46*K$44/1000*Założenia!$E58/100</f>
        <v>1195.3021549649416</v>
      </c>
      <c r="L57" s="539">
        <f>Założenia!K339*L$47*L$44/1000*Założenia!$G58/100+Założenia!K331*L$46*L$44/1000*Założenia!$E58/100</f>
        <v>840.01024459432392</v>
      </c>
      <c r="M57" s="539">
        <f>Założenia!L339*M$47*M$44/1000*Założenia!$G58/100+Założenia!L331*M$46*M$44/1000*Założenia!$E58/100</f>
        <v>840.01024459432392</v>
      </c>
      <c r="N57" s="539">
        <f>Założenia!M339*N$47*N$44/1000*Założenia!$G58/100+Założenia!M331*N$46*N$44/1000*Założenia!$E58/100</f>
        <v>840.01024459432392</v>
      </c>
      <c r="O57" s="539">
        <f>Założenia!N339*O$47*O$44/1000*Założenia!$G58/100+Założenia!N331*O$46*O$44/1000*Założenia!$E58/100</f>
        <v>840.01024459432392</v>
      </c>
      <c r="P57" s="539">
        <f>Założenia!O339*P$47*P$44/1000*Założenia!$G58/100+Założenia!O331*P$46*P$44/1000*Założenia!$E58/100</f>
        <v>840.01024459432392</v>
      </c>
      <c r="Q57" s="539">
        <f>Założenia!P339*Q$47*Q$44/1000*Założenia!$G58/100+Założenia!P331*Q$46*Q$44/1000*Założenia!$E58/100</f>
        <v>840.01024459432392</v>
      </c>
      <c r="R57" s="539">
        <f>Założenia!Q339*R$47*R$44/1000*Założenia!$G58/100+Założenia!Q331*R$46*R$44/1000*Założenia!$E58/100</f>
        <v>840.01024459432392</v>
      </c>
      <c r="S57" s="539">
        <f>Założenia!R339*S$47*S$44/1000*Założenia!$G58/100+Założenia!R331*S$46*S$44/1000*Założenia!$E58/100</f>
        <v>840.01024459432392</v>
      </c>
      <c r="T57" s="539">
        <f>Założenia!S339*T$47*T$44/1000*Założenia!$G58/100+Założenia!S331*T$46*T$44/1000*Założenia!$E58/100</f>
        <v>840.01024459432392</v>
      </c>
    </row>
    <row r="58" spans="1:21" s="1" customFormat="1" ht="15">
      <c r="A58" s="96"/>
      <c r="B58" s="109" t="s">
        <v>431</v>
      </c>
      <c r="C58" s="214" t="s">
        <v>351</v>
      </c>
      <c r="D58" s="300"/>
      <c r="E58" s="106">
        <f>Założenia!D340*E$47*E$44/1000*Założenia!$G59/100</f>
        <v>0</v>
      </c>
      <c r="F58" s="106">
        <f>Założenia!E340*F$47*F$44/1000*Założenia!$G59/100</f>
        <v>0</v>
      </c>
      <c r="G58" s="106">
        <f>Założenia!F340*G$47*G$44/1000*Założenia!$G59/100</f>
        <v>0</v>
      </c>
      <c r="H58" s="106">
        <f>Założenia!G340*H$47*H$44/1000*Założenia!$G59/100</f>
        <v>0</v>
      </c>
      <c r="I58" s="106">
        <f>Założenia!H340*I$47*I$44/1000*Założenia!$G59/100</f>
        <v>0</v>
      </c>
      <c r="J58" s="106">
        <f>Założenia!I340*J$47*J$44/1000*Założenia!$G59/100</f>
        <v>0</v>
      </c>
      <c r="K58" s="106">
        <f>Założenia!J340*K$47*K$44/1000*Założenia!$G59/100</f>
        <v>0</v>
      </c>
      <c r="L58" s="106">
        <f>Założenia!K340*L$47*L$44/1000*Założenia!$G59/100</f>
        <v>0</v>
      </c>
      <c r="M58" s="106">
        <f>Założenia!L340*M$47*M$44/1000*Założenia!$G59/100</f>
        <v>0</v>
      </c>
      <c r="N58" s="106">
        <f>Założenia!M340*N$47*N$44/1000*Założenia!$G59/100</f>
        <v>0</v>
      </c>
      <c r="O58" s="106">
        <f>Założenia!N340*O$47*O$44/1000*Założenia!$G59/100</f>
        <v>0</v>
      </c>
      <c r="P58" s="106">
        <f>Założenia!O340*P$47*P$44/1000*Założenia!$G59/100</f>
        <v>0</v>
      </c>
      <c r="Q58" s="106">
        <f>Założenia!P340*Q$47*Q$44/1000*Założenia!$G59/100</f>
        <v>0</v>
      </c>
      <c r="R58" s="106">
        <f>Założenia!Q340*R$47*R$44/1000*Założenia!$G59/100</f>
        <v>0</v>
      </c>
      <c r="S58" s="106">
        <f>Założenia!R340*S$47*S$44/1000*Założenia!$G59/100</f>
        <v>0</v>
      </c>
      <c r="T58" s="106">
        <f>Założenia!S340*T$47*T$44/1000*Założenia!$G59/100</f>
        <v>0</v>
      </c>
    </row>
    <row r="59" spans="1:21" s="1" customFormat="1" ht="13.5">
      <c r="A59" s="96"/>
      <c r="B59" s="110" t="s">
        <v>229</v>
      </c>
      <c r="C59" s="214" t="s">
        <v>217</v>
      </c>
      <c r="D59" s="300"/>
      <c r="E59" s="106">
        <f>E49*Założenia!D341*Założenia!$E$185*Założenia!$E$123*Założenia!E116/1000000</f>
        <v>0</v>
      </c>
      <c r="F59" s="106">
        <f>F49*Założenia!E341*Założenia!$E$185*Założenia!$E$123*Założenia!F116/1000000</f>
        <v>0</v>
      </c>
      <c r="G59" s="106">
        <f>G49*Założenia!F341*Założenia!$E$185*Założenia!$E$123*Założenia!G116/1000000</f>
        <v>0</v>
      </c>
      <c r="H59" s="106">
        <f>H49*Założenia!G341*Założenia!$E$185*Założenia!$E$123*Założenia!H116/1000000</f>
        <v>0</v>
      </c>
      <c r="I59" s="106">
        <f>I49*Założenia!H341*Założenia!$E$185*Założenia!$E$123*Założenia!I116/1000000</f>
        <v>0</v>
      </c>
      <c r="J59" s="106">
        <f>J49*Założenia!I341*Założenia!$E$185*Założenia!$E$123*Założenia!J116/1000000</f>
        <v>0</v>
      </c>
      <c r="K59" s="106">
        <f>K49*Założenia!J341*Założenia!$E$185*Założenia!$E$123*Założenia!K116/1000000</f>
        <v>0</v>
      </c>
      <c r="L59" s="106">
        <f>L49*Założenia!K341*Założenia!$E$185*Założenia!$E$123*Założenia!L116/1000000</f>
        <v>632.62032085561486</v>
      </c>
      <c r="M59" s="106">
        <f>M49*Założenia!L341*Założenia!$E$185*Założenia!$E$123*Założenia!M116/1000000</f>
        <v>614.5454545454545</v>
      </c>
      <c r="N59" s="106">
        <f>N49*Założenia!M341*Założenia!$E$185*Założenia!$E$123*Założenia!N116/1000000</f>
        <v>596.47058823529403</v>
      </c>
      <c r="O59" s="106">
        <f>O49*Założenia!N341*Założenia!$E$185*Założenia!$E$123*Założenia!O116/1000000</f>
        <v>563.93582887700518</v>
      </c>
      <c r="P59" s="106">
        <f>P49*Założenia!O341*Założenia!$E$185*Założenia!$E$123*Założenia!P116/1000000</f>
        <v>531.40106951871655</v>
      </c>
      <c r="Q59" s="106">
        <f>Q49*Założenia!P341*Założenia!$E$185*Założenia!$E$123*Założenia!Q116/1000000</f>
        <v>498.86631016042776</v>
      </c>
      <c r="R59" s="106">
        <f>R49*Założenia!Q341*Założenia!$E$185*Założenia!$E$123*Założenia!R116/1000000</f>
        <v>466.33155080213896</v>
      </c>
      <c r="S59" s="106">
        <f>S49*Założenia!R341*Założenia!$E$185*Założenia!$E$123*Założenia!S116/1000000</f>
        <v>433.79679144385022</v>
      </c>
      <c r="T59" s="106">
        <f>T49*Założenia!S341*Założenia!$E$185*Założenia!$E$123*Założenia!T116/1000000</f>
        <v>393.12834224598924</v>
      </c>
    </row>
    <row r="60" spans="1:21" s="26" customFormat="1">
      <c r="A60" s="108" t="s">
        <v>35</v>
      </c>
      <c r="B60" s="166" t="s">
        <v>159</v>
      </c>
      <c r="C60" s="214" t="s">
        <v>0</v>
      </c>
      <c r="D60" s="214"/>
      <c r="E60" s="107">
        <f>(E62*Założenia!E96*(1+Założenia!$C$110)+E70*Założenia!E96)+(E72*Założenia!E99*(1+Założenia!$C$110)+E80*Założenia!E99)+(E82*Założenia!E97*(1+Założenia!$C$110)+E90*Założenia!E97)</f>
        <v>239740.03094104541</v>
      </c>
      <c r="F60" s="107">
        <f>(F62*Założenia!F96*(1+Założenia!$C$110)+F70*Założenia!F96)+(F72*Założenia!F99*(1+Założenia!$C$110)+F80*Założenia!F99)+(F82*Założenia!F97*(1+Założenia!$C$110)+F90*Założenia!F97)</f>
        <v>249700.68052200734</v>
      </c>
      <c r="G60" s="107">
        <f>(G62*Założenia!G96*(1+Założenia!$C$110)+G70*Założenia!G96)+(G72*Założenia!G99*(1+Założenia!$C$110)+G80*Założenia!G99)+(G82*Założenia!G97*(1+Założenia!$C$110)+G90*Założenia!G97)</f>
        <v>259290.57908002514</v>
      </c>
      <c r="H60" s="107">
        <f>(H62*Założenia!H96*(1+Założenia!$C$110)+H70*Założenia!H96)+(H72*Założenia!H99*(1+Założenia!$C$110)+H80*Założenia!H99)+(H82*Założenia!H97*(1+Założenia!$C$110)+H90*Założenia!H97)</f>
        <v>267412.79024230497</v>
      </c>
      <c r="I60" s="107">
        <f>(I62*Założenia!I96*(1+Założenia!$C$110)+I70*Założenia!I96)+(I72*Założenia!I99*(1+Założenia!$C$110)+I80*Założenia!I99)+(I82*Założenia!I97*(1+Założenia!$C$110)+I90*Założenia!I97)</f>
        <v>275399.3580484353</v>
      </c>
      <c r="J60" s="107">
        <f>(J62*Założenia!J96*(1+Założenia!$C$110)+J70*Założenia!J96)+(J72*Założenia!J99*(1+Założenia!$C$110)+J80*Założenia!J99)+(J82*Założenia!J97*(1+Założenia!$C$110)+J90*Założenia!J97)</f>
        <v>283665.47779287322</v>
      </c>
      <c r="K60" s="107">
        <f>(K62*Założenia!K96*(1+Założenia!$C$110)+K70*Założenia!K96)+(K72*Założenia!K99*(1+Założenia!$C$110)+K80*Założenia!K99)+(K82*Założenia!K97*(1+Założenia!$C$110)+K90*Założenia!K97)</f>
        <v>292222.29362437688</v>
      </c>
      <c r="L60" s="107">
        <f>(L62*Założenia!L96*(1+Założenia!$C$110)+L70*Założenia!L96)+(L72*Założenia!L99*(1+Założenia!$C$110)+L80*Założenia!L99)+(L82*Założenia!L97*(1+Założenia!$C$110)+L90*Założenia!L97)</f>
        <v>325205.99994239397</v>
      </c>
      <c r="M60" s="107">
        <f>(M62*Założenia!M96*(1+Założenia!$C$110)+M70*Założenia!M96)+(M72*Założenia!M99*(1+Założenia!$C$110)+M80*Założenia!M99)+(M82*Założenia!M97*(1+Założenia!$C$110)+M90*Założenia!M97)</f>
        <v>332752.776812353</v>
      </c>
      <c r="N60" s="107">
        <f>(N62*Założenia!N96*(1+Założenia!$C$110)+N70*Założenia!N96)+(N72*Założenia!N99*(1+Założenia!$C$110)+N80*Założenia!N99)+(N82*Założenia!N97*(1+Założenia!$C$110)+N90*Założenia!N97)</f>
        <v>339981.57728003681</v>
      </c>
      <c r="O60" s="107">
        <f>(O62*Założenia!O96*(1+Założenia!$C$110)+O70*Założenia!O96)+(O72*Założenia!O99*(1+Założenia!$C$110)+O80*Założenia!O99)+(O82*Założenia!O97*(1+Założenia!$C$110)+O90*Założenia!O97)</f>
        <v>342872.91414841393</v>
      </c>
      <c r="P60" s="107">
        <f>(P62*Założenia!P96*(1+Założenia!$C$110)+P70*Założenia!P96)+(P72*Założenia!P99*(1+Założenia!$C$110)+P80*Założenia!P99)+(P82*Założenia!P97*(1+Założenia!$C$110)+P90*Założenia!P97)</f>
        <v>345468.47543530026</v>
      </c>
      <c r="Q60" s="107">
        <f>(Q62*Założenia!Q96*(1+Założenia!$C$110)+Q70*Założenia!Q96)+(Q72*Założenia!Q99*(1+Założenia!$C$110)+Q80*Założenia!Q99)+(Q82*Założenia!Q97*(1+Założenia!$C$110)+Q90*Założenia!Q97)</f>
        <v>347754.01736993162</v>
      </c>
      <c r="R60" s="107">
        <f>(R62*Założenia!R96*(1+Założenia!$C$110)+R70*Założenia!R96)+(R72*Założenia!R99*(1+Założenia!$C$110)+R80*Założenia!R99)+(R82*Założenia!R97*(1+Założenia!$C$110)+R90*Założenia!R97)</f>
        <v>349715.29848724045</v>
      </c>
      <c r="S60" s="107">
        <f>(S62*Założenia!S96*(1+Założenia!$C$110)+S70*Założenia!S96)+(S72*Założenia!S99*(1+Założenia!$C$110)+S80*Założenia!S99)+(S82*Założenia!S97*(1+Założenia!$C$110)+S90*Założenia!S97)</f>
        <v>351338.00825199165</v>
      </c>
      <c r="T60" s="107">
        <f>(T62*Założenia!T96*(1+Założenia!$C$110)+T70*Założenia!T96)+(T72*Założenia!T99*(1+Założenia!$C$110)+T80*Założenia!T99)+(T82*Założenia!T97*(1+Założenia!$C$110)+T90*Założenia!T97)</f>
        <v>351549.69354276219</v>
      </c>
      <c r="U60" s="13"/>
    </row>
    <row r="61" spans="1:21" s="26" customFormat="1">
      <c r="A61" s="96" t="s">
        <v>49</v>
      </c>
      <c r="B61" s="112" t="s">
        <v>183</v>
      </c>
      <c r="C61" s="214" t="s">
        <v>218</v>
      </c>
      <c r="D61" s="214"/>
      <c r="E61" s="194">
        <f>E62+E70</f>
        <v>1.7825600000000001</v>
      </c>
      <c r="F61" s="194">
        <f t="shared" ref="F61:T61" si="12">F62+F70</f>
        <v>1.7840330671118532</v>
      </c>
      <c r="G61" s="194">
        <f t="shared" si="12"/>
        <v>1.7840330671118532</v>
      </c>
      <c r="H61" s="194">
        <f t="shared" si="12"/>
        <v>1.7840330671118532</v>
      </c>
      <c r="I61" s="194">
        <f t="shared" si="12"/>
        <v>1.7840330671118532</v>
      </c>
      <c r="J61" s="194">
        <f t="shared" si="12"/>
        <v>1.7840330671118532</v>
      </c>
      <c r="K61" s="194">
        <f t="shared" si="12"/>
        <v>1.7840330671118532</v>
      </c>
      <c r="L61" s="194">
        <f t="shared" si="12"/>
        <v>2.0375420532333401</v>
      </c>
      <c r="M61" s="194">
        <f t="shared" si="12"/>
        <v>2.0251967718185191</v>
      </c>
      <c r="N61" s="194">
        <f t="shared" si="12"/>
        <v>2.0128514904036976</v>
      </c>
      <c r="O61" s="194">
        <f t="shared" si="12"/>
        <v>1.9752308696711633</v>
      </c>
      <c r="P61" s="194">
        <f t="shared" si="12"/>
        <v>1.9376102489386291</v>
      </c>
      <c r="Q61" s="194">
        <f t="shared" si="12"/>
        <v>1.8999896282060948</v>
      </c>
      <c r="R61" s="194">
        <f t="shared" si="12"/>
        <v>1.8623690074735606</v>
      </c>
      <c r="S61" s="194">
        <f t="shared" si="12"/>
        <v>1.8247483867410259</v>
      </c>
      <c r="T61" s="194">
        <f t="shared" si="12"/>
        <v>1.7794606964982345</v>
      </c>
      <c r="U61" s="13"/>
    </row>
    <row r="62" spans="1:21" s="26" customFormat="1">
      <c r="A62" s="96"/>
      <c r="B62" s="166" t="s">
        <v>343</v>
      </c>
      <c r="C62" s="214" t="s">
        <v>218</v>
      </c>
      <c r="D62" s="214"/>
      <c r="E62" s="194">
        <f>SUM(E63:E69)</f>
        <v>1.7825600000000001</v>
      </c>
      <c r="F62" s="194">
        <f t="shared" ref="F62:T62" si="13">SUM(F63:F69)</f>
        <v>1.7840330671118532</v>
      </c>
      <c r="G62" s="194">
        <f t="shared" si="13"/>
        <v>1.7840330671118532</v>
      </c>
      <c r="H62" s="194">
        <f t="shared" si="13"/>
        <v>1.7840330671118532</v>
      </c>
      <c r="I62" s="194">
        <f t="shared" si="13"/>
        <v>1.7840330671118532</v>
      </c>
      <c r="J62" s="194">
        <f t="shared" si="13"/>
        <v>1.7840330671118532</v>
      </c>
      <c r="K62" s="194">
        <f t="shared" si="13"/>
        <v>1.7840330671118532</v>
      </c>
      <c r="L62" s="194">
        <f t="shared" si="13"/>
        <v>1.2537466337228715</v>
      </c>
      <c r="M62" s="194">
        <f t="shared" si="13"/>
        <v>1.2537466337228715</v>
      </c>
      <c r="N62" s="194">
        <f t="shared" si="13"/>
        <v>1.2537466337228715</v>
      </c>
      <c r="O62" s="194">
        <f t="shared" si="13"/>
        <v>1.2537466337228715</v>
      </c>
      <c r="P62" s="194">
        <f t="shared" si="13"/>
        <v>1.2537466337228715</v>
      </c>
      <c r="Q62" s="194">
        <f t="shared" si="13"/>
        <v>1.2537466337228715</v>
      </c>
      <c r="R62" s="194">
        <f t="shared" si="13"/>
        <v>1.2537466337228715</v>
      </c>
      <c r="S62" s="194">
        <f t="shared" si="13"/>
        <v>1.2537466337228715</v>
      </c>
      <c r="T62" s="194">
        <f t="shared" si="13"/>
        <v>1.2537466337228715</v>
      </c>
      <c r="U62" s="13"/>
    </row>
    <row r="63" spans="1:21" s="26" customFormat="1">
      <c r="A63" s="96"/>
      <c r="B63" s="109" t="s">
        <v>426</v>
      </c>
      <c r="C63" s="214" t="s">
        <v>218</v>
      </c>
      <c r="D63" s="214"/>
      <c r="E63" s="174">
        <f>Założenia!D334*Założenia!D$350*Założenia!$F72/1000000</f>
        <v>0</v>
      </c>
      <c r="F63" s="174">
        <f>Założenia!E334*Założenia!E$350*Założenia!$F72/1000000</f>
        <v>0</v>
      </c>
      <c r="G63" s="174">
        <f>Założenia!F334*Założenia!F$350*Założenia!$F72/1000000</f>
        <v>0</v>
      </c>
      <c r="H63" s="174">
        <f>Założenia!G334*Założenia!G$350*Założenia!$F72/1000000</f>
        <v>0</v>
      </c>
      <c r="I63" s="174">
        <f>Założenia!H334*Założenia!H$350*Założenia!$F72/1000000</f>
        <v>0</v>
      </c>
      <c r="J63" s="174">
        <f>Założenia!I334*Założenia!I$350*Założenia!$F72/1000000</f>
        <v>0</v>
      </c>
      <c r="K63" s="174">
        <f>Założenia!J334*Założenia!J$350*Założenia!$F72/1000000</f>
        <v>0</v>
      </c>
      <c r="L63" s="174">
        <f>Założenia!K334*Założenia!K$350*Założenia!$F72/1000000</f>
        <v>0</v>
      </c>
      <c r="M63" s="174">
        <f>Założenia!L334*Założenia!L$350*Założenia!$F72/1000000</f>
        <v>0</v>
      </c>
      <c r="N63" s="174">
        <f>Założenia!M334*Założenia!M$350*Założenia!$F72/1000000</f>
        <v>0</v>
      </c>
      <c r="O63" s="174">
        <f>Założenia!N334*Założenia!N$350*Założenia!$F72/1000000</f>
        <v>0</v>
      </c>
      <c r="P63" s="174">
        <f>Założenia!O334*Założenia!O$350*Założenia!$F72/1000000</f>
        <v>0</v>
      </c>
      <c r="Q63" s="174">
        <f>Założenia!P334*Założenia!P$350*Założenia!$F72/1000000</f>
        <v>0</v>
      </c>
      <c r="R63" s="174">
        <f>Założenia!Q334*Założenia!Q$350*Założenia!$F72/1000000</f>
        <v>0</v>
      </c>
      <c r="S63" s="174">
        <f>Założenia!R334*Założenia!R$350*Założenia!$F72/1000000</f>
        <v>0</v>
      </c>
      <c r="T63" s="174">
        <f>Założenia!S334*Założenia!S$350*Założenia!$F72/1000000</f>
        <v>0</v>
      </c>
      <c r="U63" s="13"/>
    </row>
    <row r="64" spans="1:21" s="32" customFormat="1" ht="12">
      <c r="A64" s="96"/>
      <c r="B64" s="109" t="s">
        <v>432</v>
      </c>
      <c r="C64" s="214" t="s">
        <v>218</v>
      </c>
      <c r="D64" s="214"/>
      <c r="E64" s="174">
        <f>Założenia!D335*Założenia!D$350*Założenia!$F73/1000000</f>
        <v>0</v>
      </c>
      <c r="F64" s="174">
        <f>Założenia!E335*Założenia!E$350*Założenia!$F73/1000000</f>
        <v>0</v>
      </c>
      <c r="G64" s="174">
        <f>Założenia!F335*Założenia!F$350*Założenia!$F73/1000000</f>
        <v>0</v>
      </c>
      <c r="H64" s="174">
        <f>Założenia!G335*Założenia!G$350*Założenia!$F73/1000000</f>
        <v>0</v>
      </c>
      <c r="I64" s="174">
        <f>Założenia!H335*Założenia!H$350*Założenia!$F73/1000000</f>
        <v>0</v>
      </c>
      <c r="J64" s="174">
        <f>Założenia!I335*Założenia!I$350*Założenia!$F73/1000000</f>
        <v>0</v>
      </c>
      <c r="K64" s="174">
        <f>Założenia!J335*Założenia!J$350*Założenia!$F73/1000000</f>
        <v>0</v>
      </c>
      <c r="L64" s="174">
        <f>Założenia!K335*Założenia!K$350*Założenia!$F73/1000000</f>
        <v>0</v>
      </c>
      <c r="M64" s="174">
        <f>Założenia!L335*Założenia!L$350*Założenia!$F73/1000000</f>
        <v>0</v>
      </c>
      <c r="N64" s="174">
        <f>Założenia!M335*Założenia!M$350*Założenia!$F73/1000000</f>
        <v>0</v>
      </c>
      <c r="O64" s="174">
        <f>Założenia!N335*Założenia!N$350*Założenia!$F73/1000000</f>
        <v>0</v>
      </c>
      <c r="P64" s="174">
        <f>Założenia!O335*Założenia!O$350*Założenia!$F73/1000000</f>
        <v>0</v>
      </c>
      <c r="Q64" s="174">
        <f>Założenia!P335*Założenia!P$350*Założenia!$F73/1000000</f>
        <v>0</v>
      </c>
      <c r="R64" s="174">
        <f>Założenia!Q335*Założenia!Q$350*Założenia!$F73/1000000</f>
        <v>0</v>
      </c>
      <c r="S64" s="174">
        <f>Założenia!R335*Założenia!R$350*Założenia!$F73/1000000</f>
        <v>0</v>
      </c>
      <c r="T64" s="174">
        <f>Założenia!S335*Założenia!S$350*Założenia!$F73/1000000</f>
        <v>0</v>
      </c>
      <c r="U64" s="13"/>
    </row>
    <row r="65" spans="1:21" s="32" customFormat="1" ht="12">
      <c r="A65" s="96"/>
      <c r="B65" s="109" t="s">
        <v>427</v>
      </c>
      <c r="C65" s="214" t="s">
        <v>218</v>
      </c>
      <c r="D65" s="214"/>
      <c r="E65" s="174">
        <f>Założenia!D336*Założenia!D$350*Założenia!$F74/1000000</f>
        <v>0</v>
      </c>
      <c r="F65" s="174">
        <f>Założenia!E336*Założenia!E$350*Założenia!$F74/1000000</f>
        <v>0</v>
      </c>
      <c r="G65" s="174">
        <f>Założenia!F336*Założenia!F$350*Założenia!$F74/1000000</f>
        <v>0</v>
      </c>
      <c r="H65" s="174">
        <f>Założenia!G336*Założenia!G$350*Założenia!$F74/1000000</f>
        <v>0</v>
      </c>
      <c r="I65" s="174">
        <f>Założenia!H336*Założenia!H$350*Założenia!$F74/1000000</f>
        <v>0</v>
      </c>
      <c r="J65" s="174">
        <f>Założenia!I336*Założenia!I$350*Założenia!$F74/1000000</f>
        <v>0</v>
      </c>
      <c r="K65" s="174">
        <f>Założenia!J336*Założenia!J$350*Założenia!$F74/1000000</f>
        <v>0</v>
      </c>
      <c r="L65" s="174">
        <f>Założenia!K336*Założenia!K$350*Założenia!$F74/1000000</f>
        <v>0</v>
      </c>
      <c r="M65" s="174">
        <f>Założenia!L336*Założenia!L$350*Założenia!$F74/1000000</f>
        <v>0</v>
      </c>
      <c r="N65" s="174">
        <f>Założenia!M336*Założenia!M$350*Założenia!$F74/1000000</f>
        <v>0</v>
      </c>
      <c r="O65" s="174">
        <f>Założenia!N336*Założenia!N$350*Założenia!$F74/1000000</f>
        <v>0</v>
      </c>
      <c r="P65" s="174">
        <f>Założenia!O336*Założenia!O$350*Założenia!$F74/1000000</f>
        <v>0</v>
      </c>
      <c r="Q65" s="174">
        <f>Założenia!P336*Założenia!P$350*Założenia!$F74/1000000</f>
        <v>0</v>
      </c>
      <c r="R65" s="174">
        <f>Założenia!Q336*Założenia!Q$350*Założenia!$F74/1000000</f>
        <v>0</v>
      </c>
      <c r="S65" s="174">
        <f>Założenia!R336*Założenia!R$350*Założenia!$F74/1000000</f>
        <v>0</v>
      </c>
      <c r="T65" s="174">
        <f>Założenia!S336*Założenia!S$350*Założenia!$F74/1000000</f>
        <v>0</v>
      </c>
      <c r="U65" s="13"/>
    </row>
    <row r="66" spans="1:21" s="32" customFormat="1" ht="12">
      <c r="A66" s="96"/>
      <c r="B66" s="109" t="s">
        <v>428</v>
      </c>
      <c r="C66" s="214" t="s">
        <v>218</v>
      </c>
      <c r="D66" s="214"/>
      <c r="E66" s="174">
        <f>Założenia!D337*Założenia!D$350*Założenia!$F75/1000000</f>
        <v>0</v>
      </c>
      <c r="F66" s="174">
        <f>Założenia!E337*Założenia!E$350*Założenia!$F75/1000000</f>
        <v>0</v>
      </c>
      <c r="G66" s="174">
        <f>Założenia!F337*Założenia!F$350*Założenia!$F75/1000000</f>
        <v>0</v>
      </c>
      <c r="H66" s="174">
        <f>Założenia!G337*Założenia!G$350*Założenia!$F75/1000000</f>
        <v>0</v>
      </c>
      <c r="I66" s="174">
        <f>Założenia!H337*Założenia!H$350*Założenia!$F75/1000000</f>
        <v>0</v>
      </c>
      <c r="J66" s="174">
        <f>Założenia!I337*Założenia!I$350*Założenia!$F75/1000000</f>
        <v>0</v>
      </c>
      <c r="K66" s="174">
        <f>Założenia!J337*Założenia!J$350*Założenia!$F75/1000000</f>
        <v>0</v>
      </c>
      <c r="L66" s="174">
        <f>Założenia!K337*Założenia!K$350*Założenia!$F75/1000000</f>
        <v>0</v>
      </c>
      <c r="M66" s="174">
        <f>Założenia!L337*Założenia!L$350*Założenia!$F75/1000000</f>
        <v>0</v>
      </c>
      <c r="N66" s="174">
        <f>Założenia!M337*Założenia!M$350*Założenia!$F75/1000000</f>
        <v>0</v>
      </c>
      <c r="O66" s="174">
        <f>Założenia!N337*Założenia!N$350*Założenia!$F75/1000000</f>
        <v>0</v>
      </c>
      <c r="P66" s="174">
        <f>Założenia!O337*Założenia!O$350*Założenia!$F75/1000000</f>
        <v>0</v>
      </c>
      <c r="Q66" s="174">
        <f>Założenia!P337*Założenia!P$350*Założenia!$F75/1000000</f>
        <v>0</v>
      </c>
      <c r="R66" s="174">
        <f>Założenia!Q337*Założenia!Q$350*Założenia!$F75/1000000</f>
        <v>0</v>
      </c>
      <c r="S66" s="174">
        <f>Założenia!R337*Założenia!R$350*Założenia!$F75/1000000</f>
        <v>0</v>
      </c>
      <c r="T66" s="174">
        <f>Założenia!S337*Założenia!S$350*Założenia!$F75/1000000</f>
        <v>0</v>
      </c>
      <c r="U66" s="13"/>
    </row>
    <row r="67" spans="1:21" s="32" customFormat="1" ht="12">
      <c r="A67" s="96"/>
      <c r="B67" s="109" t="s">
        <v>429</v>
      </c>
      <c r="C67" s="214" t="s">
        <v>218</v>
      </c>
      <c r="D67" s="214"/>
      <c r="E67" s="174">
        <f>Założenia!D338*Założenia!D$350*Założenia!$F76/1000000</f>
        <v>0</v>
      </c>
      <c r="F67" s="174">
        <f>Założenia!E338*Założenia!E$350*Założenia!$F76/1000000</f>
        <v>0</v>
      </c>
      <c r="G67" s="174">
        <f>Założenia!F338*Założenia!F$350*Założenia!$F76/1000000</f>
        <v>0</v>
      </c>
      <c r="H67" s="174">
        <f>Założenia!G338*Założenia!G$350*Założenia!$F76/1000000</f>
        <v>0</v>
      </c>
      <c r="I67" s="174">
        <f>Założenia!H338*Założenia!H$350*Założenia!$F76/1000000</f>
        <v>0</v>
      </c>
      <c r="J67" s="174">
        <f>Założenia!I338*Założenia!I$350*Założenia!$F76/1000000</f>
        <v>0</v>
      </c>
      <c r="K67" s="174">
        <f>Założenia!J338*Założenia!J$350*Założenia!$F76/1000000</f>
        <v>0</v>
      </c>
      <c r="L67" s="174">
        <f>Założenia!K338*Założenia!K$350*Założenia!$F76/1000000</f>
        <v>0</v>
      </c>
      <c r="M67" s="174">
        <f>Założenia!L338*Założenia!L$350*Założenia!$F76/1000000</f>
        <v>0</v>
      </c>
      <c r="N67" s="174">
        <f>Założenia!M338*Założenia!M$350*Założenia!$F76/1000000</f>
        <v>0</v>
      </c>
      <c r="O67" s="174">
        <f>Założenia!N338*Założenia!N$350*Założenia!$F76/1000000</f>
        <v>0</v>
      </c>
      <c r="P67" s="174">
        <f>Założenia!O338*Założenia!O$350*Założenia!$F76/1000000</f>
        <v>0</v>
      </c>
      <c r="Q67" s="174">
        <f>Założenia!P338*Założenia!P$350*Założenia!$F76/1000000</f>
        <v>0</v>
      </c>
      <c r="R67" s="174">
        <f>Założenia!Q338*Założenia!Q$350*Założenia!$F76/1000000</f>
        <v>0</v>
      </c>
      <c r="S67" s="174">
        <f>Założenia!R338*Założenia!R$350*Założenia!$F76/1000000</f>
        <v>0</v>
      </c>
      <c r="T67" s="174">
        <f>Założenia!S338*Założenia!S$350*Założenia!$F76/1000000</f>
        <v>0</v>
      </c>
      <c r="U67" s="13"/>
    </row>
    <row r="68" spans="1:21" s="32" customFormat="1" ht="12">
      <c r="A68" s="96"/>
      <c r="B68" s="109" t="s">
        <v>430</v>
      </c>
      <c r="C68" s="214" t="s">
        <v>218</v>
      </c>
      <c r="D68" s="214"/>
      <c r="E68" s="174">
        <f>Założenia!D339*Założenia!D$350*Założenia!$F77/1000000+Założenia!D331*Założenia!D349*Założenia!$F68/1000000</f>
        <v>1.7825600000000001</v>
      </c>
      <c r="F68" s="174">
        <f>Założenia!E339*Założenia!E$350*Założenia!$F77/1000000+Założenia!E331*Założenia!E349*Założenia!$F68/1000000</f>
        <v>1.7840330671118532</v>
      </c>
      <c r="G68" s="174">
        <f>Założenia!F339*Założenia!F$350*Założenia!$F77/1000000+Założenia!F331*Założenia!F349*Założenia!$F68/1000000</f>
        <v>1.7840330671118532</v>
      </c>
      <c r="H68" s="174">
        <f>Założenia!G339*Założenia!G$350*Założenia!$F77/1000000+Założenia!G331*Założenia!G349*Założenia!$F68/1000000</f>
        <v>1.7840330671118532</v>
      </c>
      <c r="I68" s="174">
        <f>Założenia!H339*Założenia!H$350*Założenia!$F77/1000000+Założenia!H331*Założenia!H349*Założenia!$F68/1000000</f>
        <v>1.7840330671118532</v>
      </c>
      <c r="J68" s="174">
        <f>Założenia!I339*Założenia!I$350*Założenia!$F77/1000000+Założenia!I331*Założenia!I349*Założenia!$F68/1000000</f>
        <v>1.7840330671118532</v>
      </c>
      <c r="K68" s="174">
        <f>Założenia!J339*Założenia!J$350*Założenia!$F77/1000000+Założenia!J331*Założenia!J349*Założenia!$F68/1000000</f>
        <v>1.7840330671118532</v>
      </c>
      <c r="L68" s="174">
        <f>Założenia!K339*Założenia!K$350*Założenia!$F77/1000000+Założenia!K331*Założenia!K349*Założenia!$F68/1000000</f>
        <v>1.2537466337228715</v>
      </c>
      <c r="M68" s="174">
        <f>Założenia!L339*Założenia!L$350*Założenia!$F77/1000000+Założenia!L331*Założenia!L349*Założenia!$F68/1000000</f>
        <v>1.2537466337228715</v>
      </c>
      <c r="N68" s="174">
        <f>Założenia!M339*Założenia!M$350*Założenia!$F77/1000000+Założenia!M331*Założenia!M349*Założenia!$F68/1000000</f>
        <v>1.2537466337228715</v>
      </c>
      <c r="O68" s="174">
        <f>Założenia!N339*Założenia!N$350*Założenia!$F77/1000000+Założenia!N331*Założenia!N349*Założenia!$F68/1000000</f>
        <v>1.2537466337228715</v>
      </c>
      <c r="P68" s="174">
        <f>Założenia!O339*Założenia!O$350*Założenia!$F77/1000000+Założenia!O331*Założenia!O349*Założenia!$F68/1000000</f>
        <v>1.2537466337228715</v>
      </c>
      <c r="Q68" s="174">
        <f>Założenia!P339*Założenia!P$350*Założenia!$F77/1000000+Założenia!P331*Założenia!P349*Założenia!$F68/1000000</f>
        <v>1.2537466337228715</v>
      </c>
      <c r="R68" s="174">
        <f>Założenia!Q339*Założenia!Q$350*Założenia!$F77/1000000+Założenia!Q331*Założenia!Q349*Założenia!$F68/1000000</f>
        <v>1.2537466337228715</v>
      </c>
      <c r="S68" s="174">
        <f>Założenia!R339*Założenia!R$350*Założenia!$F77/1000000+Założenia!R331*Założenia!R349*Założenia!$F68/1000000</f>
        <v>1.2537466337228715</v>
      </c>
      <c r="T68" s="174">
        <f>Założenia!S339*Założenia!S$350*Założenia!$F77/1000000+Założenia!S331*Założenia!S349*Założenia!$F68/1000000</f>
        <v>1.2537466337228715</v>
      </c>
      <c r="U68" s="13"/>
    </row>
    <row r="69" spans="1:21" s="32" customFormat="1" ht="12">
      <c r="A69" s="96"/>
      <c r="B69" s="109" t="s">
        <v>431</v>
      </c>
      <c r="C69" s="214" t="s">
        <v>218</v>
      </c>
      <c r="D69" s="214"/>
      <c r="E69" s="174">
        <f>Założenia!D340*Założenia!D$351*Założenia!$I77/1000000</f>
        <v>0</v>
      </c>
      <c r="F69" s="174">
        <f>Założenia!E340*Założenia!E$351*Założenia!$I77/1000000</f>
        <v>0</v>
      </c>
      <c r="G69" s="174">
        <f>Założenia!F340*Założenia!F$351*Założenia!$I77/1000000</f>
        <v>0</v>
      </c>
      <c r="H69" s="174">
        <f>Założenia!G340*Założenia!G$351*Założenia!$I77/1000000</f>
        <v>0</v>
      </c>
      <c r="I69" s="174">
        <f>Założenia!H340*Założenia!H$351*Założenia!$I77/1000000</f>
        <v>0</v>
      </c>
      <c r="J69" s="174">
        <f>Założenia!I340*Założenia!I$351*Założenia!$I77/1000000</f>
        <v>0</v>
      </c>
      <c r="K69" s="174">
        <f>Założenia!J340*Założenia!J$351*Założenia!$I77/1000000</f>
        <v>0</v>
      </c>
      <c r="L69" s="174">
        <f>Założenia!K340*Założenia!K$351*Założenia!$I77/1000000</f>
        <v>0</v>
      </c>
      <c r="M69" s="174">
        <f>Założenia!L340*Założenia!L$351*Założenia!$I77/1000000</f>
        <v>0</v>
      </c>
      <c r="N69" s="174">
        <f>Założenia!M340*Założenia!M$351*Założenia!$I77/1000000</f>
        <v>0</v>
      </c>
      <c r="O69" s="174">
        <f>Założenia!N340*Założenia!N$351*Założenia!$I77/1000000</f>
        <v>0</v>
      </c>
      <c r="P69" s="174">
        <f>Założenia!O340*Założenia!O$351*Założenia!$I77/1000000</f>
        <v>0</v>
      </c>
      <c r="Q69" s="174">
        <f>Założenia!P340*Założenia!P$351*Założenia!$I77/1000000</f>
        <v>0</v>
      </c>
      <c r="R69" s="174">
        <f>Założenia!Q340*Założenia!Q$351*Założenia!$I77/1000000</f>
        <v>0</v>
      </c>
      <c r="S69" s="174">
        <f>Założenia!R340*Założenia!R$351*Założenia!$I77/1000000</f>
        <v>0</v>
      </c>
      <c r="T69" s="174">
        <f>Założenia!S340*Założenia!S$351*Założenia!$I77/1000000</f>
        <v>0</v>
      </c>
      <c r="U69" s="13"/>
    </row>
    <row r="70" spans="1:21" s="1" customFormat="1" ht="12">
      <c r="A70" s="96"/>
      <c r="B70" s="110" t="s">
        <v>229</v>
      </c>
      <c r="C70" s="214" t="s">
        <v>218</v>
      </c>
      <c r="D70" s="300"/>
      <c r="E70" s="194">
        <f>Założenia!D341*Założenia!D$352*Założenia!$E$185*Założenia!$E$123*Założenia!E92/1000000</f>
        <v>0</v>
      </c>
      <c r="F70" s="194">
        <f>Założenia!E341*Założenia!E$352*Założenia!$E$185*Założenia!$E$123*Założenia!F92/1000000</f>
        <v>0</v>
      </c>
      <c r="G70" s="194">
        <f>Założenia!F341*Założenia!F$352*Założenia!$E$185*Założenia!$E$123*Założenia!G92/1000000</f>
        <v>0</v>
      </c>
      <c r="H70" s="194">
        <f>Założenia!G341*Założenia!G$352*Założenia!$E$185*Założenia!$E$123*Założenia!H92/1000000</f>
        <v>0</v>
      </c>
      <c r="I70" s="194">
        <f>Założenia!H341*Założenia!H$352*Założenia!$E$185*Założenia!$E$123*Założenia!I92/1000000</f>
        <v>0</v>
      </c>
      <c r="J70" s="194">
        <f>Założenia!I341*Założenia!I$352*Założenia!$E$185*Założenia!$E$123*Założenia!J92/1000000</f>
        <v>0</v>
      </c>
      <c r="K70" s="194">
        <f>Założenia!J341*Założenia!J$352*Założenia!$E$185*Założenia!$E$123*Założenia!K92/1000000</f>
        <v>0</v>
      </c>
      <c r="L70" s="194">
        <f>Założenia!K341*Założenia!K$352*Założenia!$E$185*Założenia!$E$123*Założenia!L92/1000000</f>
        <v>0.78379541951046872</v>
      </c>
      <c r="M70" s="194">
        <f>Założenia!L341*Założenia!L$352*Założenia!$E$185*Założenia!$E$123*Założenia!M92/1000000</f>
        <v>0.77145013809564744</v>
      </c>
      <c r="N70" s="194">
        <f>Założenia!M341*Założenia!M$352*Założenia!$E$185*Założenia!$E$123*Założenia!N92/1000000</f>
        <v>0.75910485668082628</v>
      </c>
      <c r="O70" s="194">
        <f>Założenia!N341*Założenia!N$352*Założenia!$E$185*Założenia!$E$123*Założenia!O92/1000000</f>
        <v>0.72148423594829192</v>
      </c>
      <c r="P70" s="194">
        <f>Założenia!O341*Założenia!O$352*Założenia!$E$185*Założenia!$E$123*Założenia!P92/1000000</f>
        <v>0.68386361521575767</v>
      </c>
      <c r="Q70" s="194">
        <f>Założenia!P341*Założenia!P$352*Założenia!$E$185*Założenia!$E$123*Założenia!Q92/1000000</f>
        <v>0.64624299448322331</v>
      </c>
      <c r="R70" s="194">
        <f>Założenia!Q341*Założenia!Q$352*Założenia!$E$185*Założenia!$E$123*Założenia!R92/1000000</f>
        <v>0.60862237375068895</v>
      </c>
      <c r="S70" s="194">
        <f>Założenia!R341*Założenia!R$352*Założenia!$E$185*Założenia!$E$123*Założenia!S92/1000000</f>
        <v>0.57100175301815448</v>
      </c>
      <c r="T70" s="194">
        <f>Założenia!S341*Założenia!S$352*Założenia!$E$185*Założenia!$E$123*Założenia!T92/1000000</f>
        <v>0.52571406277536281</v>
      </c>
    </row>
    <row r="71" spans="1:21" s="26" customFormat="1">
      <c r="A71" s="96" t="s">
        <v>50</v>
      </c>
      <c r="B71" s="112" t="s">
        <v>184</v>
      </c>
      <c r="C71" s="214" t="s">
        <v>219</v>
      </c>
      <c r="D71" s="214"/>
      <c r="E71" s="194">
        <f>E72+E80</f>
        <v>4.4564000000000006E-2</v>
      </c>
      <c r="F71" s="194">
        <f t="shared" ref="F71:T71" si="14">F72+F80</f>
        <v>4.4600826677796329E-2</v>
      </c>
      <c r="G71" s="194">
        <f t="shared" si="14"/>
        <v>4.4600826677796329E-2</v>
      </c>
      <c r="H71" s="194">
        <f t="shared" si="14"/>
        <v>4.4600826677796329E-2</v>
      </c>
      <c r="I71" s="194">
        <f t="shared" si="14"/>
        <v>4.4600826677796329E-2</v>
      </c>
      <c r="J71" s="194">
        <f t="shared" si="14"/>
        <v>4.4600826677796329E-2</v>
      </c>
      <c r="K71" s="194">
        <f t="shared" si="14"/>
        <v>4.4600826677796329E-2</v>
      </c>
      <c r="L71" s="194">
        <f t="shared" si="14"/>
        <v>5.2822279412456548E-2</v>
      </c>
      <c r="M71" s="194">
        <f t="shared" si="14"/>
        <v>5.2486760631579282E-2</v>
      </c>
      <c r="N71" s="194">
        <f t="shared" si="14"/>
        <v>5.2151241850702024E-2</v>
      </c>
      <c r="O71" s="194">
        <f t="shared" si="14"/>
        <v>5.1117627541870464E-2</v>
      </c>
      <c r="P71" s="194">
        <f t="shared" si="14"/>
        <v>5.008401323303889E-2</v>
      </c>
      <c r="Q71" s="194">
        <f t="shared" si="14"/>
        <v>4.9050398924207324E-2</v>
      </c>
      <c r="R71" s="194">
        <f t="shared" si="14"/>
        <v>4.8016784615375757E-2</v>
      </c>
      <c r="S71" s="194">
        <f t="shared" si="14"/>
        <v>4.6983170306544191E-2</v>
      </c>
      <c r="T71" s="194">
        <f t="shared" si="14"/>
        <v>4.5752032844454234E-2</v>
      </c>
      <c r="U71" s="13"/>
    </row>
    <row r="72" spans="1:21" s="26" customFormat="1">
      <c r="A72" s="96"/>
      <c r="B72" s="166" t="s">
        <v>343</v>
      </c>
      <c r="C72" s="214" t="s">
        <v>219</v>
      </c>
      <c r="D72" s="214"/>
      <c r="E72" s="194">
        <f>SUM(E73:E79)</f>
        <v>4.4564000000000006E-2</v>
      </c>
      <c r="F72" s="194">
        <f t="shared" ref="F72:T72" si="15">SUM(F73:F79)</f>
        <v>4.4600826677796329E-2</v>
      </c>
      <c r="G72" s="194">
        <f t="shared" si="15"/>
        <v>4.4600826677796329E-2</v>
      </c>
      <c r="H72" s="194">
        <f t="shared" si="15"/>
        <v>4.4600826677796329E-2</v>
      </c>
      <c r="I72" s="194">
        <f t="shared" si="15"/>
        <v>4.4600826677796329E-2</v>
      </c>
      <c r="J72" s="194">
        <f t="shared" si="15"/>
        <v>4.4600826677796329E-2</v>
      </c>
      <c r="K72" s="194">
        <f t="shared" si="15"/>
        <v>4.4600826677796329E-2</v>
      </c>
      <c r="L72" s="194">
        <f t="shared" si="15"/>
        <v>3.1343665843071793E-2</v>
      </c>
      <c r="M72" s="194">
        <f t="shared" si="15"/>
        <v>3.1343665843071793E-2</v>
      </c>
      <c r="N72" s="194">
        <f t="shared" si="15"/>
        <v>3.1343665843071793E-2</v>
      </c>
      <c r="O72" s="194">
        <f t="shared" si="15"/>
        <v>3.1343665843071793E-2</v>
      </c>
      <c r="P72" s="194">
        <f t="shared" si="15"/>
        <v>3.1343665843071793E-2</v>
      </c>
      <c r="Q72" s="194">
        <f t="shared" si="15"/>
        <v>3.1343665843071793E-2</v>
      </c>
      <c r="R72" s="194">
        <f t="shared" si="15"/>
        <v>3.1343665843071793E-2</v>
      </c>
      <c r="S72" s="194">
        <f t="shared" si="15"/>
        <v>3.1343665843071793E-2</v>
      </c>
      <c r="T72" s="194">
        <f t="shared" si="15"/>
        <v>3.1343665843071793E-2</v>
      </c>
      <c r="U72" s="13"/>
    </row>
    <row r="73" spans="1:21" s="26" customFormat="1">
      <c r="A73" s="96"/>
      <c r="B73" s="109" t="s">
        <v>426</v>
      </c>
      <c r="C73" s="214" t="s">
        <v>219</v>
      </c>
      <c r="D73" s="214"/>
      <c r="E73" s="174">
        <f>Założenia!D334*Założenia!D$350*Założenia!$G72/1000000</f>
        <v>0</v>
      </c>
      <c r="F73" s="174">
        <f>Założenia!E334*Założenia!E$350*Założenia!$G72/1000000</f>
        <v>0</v>
      </c>
      <c r="G73" s="174">
        <f>Założenia!F334*Założenia!F$350*Założenia!$G72/1000000</f>
        <v>0</v>
      </c>
      <c r="H73" s="174">
        <f>Założenia!G334*Założenia!G$350*Założenia!$G72/1000000</f>
        <v>0</v>
      </c>
      <c r="I73" s="174">
        <f>Założenia!H334*Założenia!H$350*Założenia!$G72/1000000</f>
        <v>0</v>
      </c>
      <c r="J73" s="174">
        <f>Założenia!I334*Założenia!I$350*Założenia!$G72/1000000</f>
        <v>0</v>
      </c>
      <c r="K73" s="174">
        <f>Założenia!J334*Założenia!J$350*Założenia!$G72/1000000</f>
        <v>0</v>
      </c>
      <c r="L73" s="174">
        <f>Założenia!K334*Założenia!K$350*Założenia!$G72/1000000</f>
        <v>0</v>
      </c>
      <c r="M73" s="174">
        <f>Założenia!L334*Założenia!L$350*Założenia!$G72/1000000</f>
        <v>0</v>
      </c>
      <c r="N73" s="174">
        <f>Założenia!M334*Założenia!M$350*Założenia!$G72/1000000</f>
        <v>0</v>
      </c>
      <c r="O73" s="174">
        <f>Założenia!N334*Założenia!N$350*Założenia!$G72/1000000</f>
        <v>0</v>
      </c>
      <c r="P73" s="174">
        <f>Założenia!O334*Założenia!O$350*Założenia!$G72/1000000</f>
        <v>0</v>
      </c>
      <c r="Q73" s="174">
        <f>Założenia!P334*Założenia!P$350*Założenia!$G72/1000000</f>
        <v>0</v>
      </c>
      <c r="R73" s="174">
        <f>Założenia!Q334*Założenia!Q$350*Założenia!$G72/1000000</f>
        <v>0</v>
      </c>
      <c r="S73" s="174">
        <f>Założenia!R334*Założenia!R$350*Założenia!$G72/1000000</f>
        <v>0</v>
      </c>
      <c r="T73" s="174">
        <f>Założenia!S334*Założenia!S$350*Założenia!$G72/1000000</f>
        <v>0</v>
      </c>
      <c r="U73" s="13"/>
    </row>
    <row r="74" spans="1:21" s="32" customFormat="1" ht="12">
      <c r="A74" s="96"/>
      <c r="B74" s="109" t="s">
        <v>432</v>
      </c>
      <c r="C74" s="214" t="s">
        <v>219</v>
      </c>
      <c r="D74" s="214"/>
      <c r="E74" s="174">
        <f>Założenia!D335*Założenia!D$350*Założenia!$G73/1000000</f>
        <v>0</v>
      </c>
      <c r="F74" s="174">
        <f>Założenia!E335*Założenia!E$350*Założenia!$G73/1000000</f>
        <v>0</v>
      </c>
      <c r="G74" s="174">
        <f>Założenia!F335*Założenia!F$350*Założenia!$G73/1000000</f>
        <v>0</v>
      </c>
      <c r="H74" s="174">
        <f>Założenia!G335*Założenia!G$350*Założenia!$G73/1000000</f>
        <v>0</v>
      </c>
      <c r="I74" s="174">
        <f>Założenia!H335*Założenia!H$350*Założenia!$G73/1000000</f>
        <v>0</v>
      </c>
      <c r="J74" s="174">
        <f>Założenia!I335*Założenia!I$350*Założenia!$G73/1000000</f>
        <v>0</v>
      </c>
      <c r="K74" s="174">
        <f>Założenia!J335*Założenia!J$350*Założenia!$G73/1000000</f>
        <v>0</v>
      </c>
      <c r="L74" s="174">
        <f>Założenia!K335*Założenia!K$350*Założenia!$G73/1000000</f>
        <v>0</v>
      </c>
      <c r="M74" s="174">
        <f>Założenia!L335*Założenia!L$350*Założenia!$G73/1000000</f>
        <v>0</v>
      </c>
      <c r="N74" s="174">
        <f>Założenia!M335*Założenia!M$350*Założenia!$G73/1000000</f>
        <v>0</v>
      </c>
      <c r="O74" s="174">
        <f>Założenia!N335*Założenia!N$350*Założenia!$G73/1000000</f>
        <v>0</v>
      </c>
      <c r="P74" s="174">
        <f>Założenia!O335*Założenia!O$350*Założenia!$G73/1000000</f>
        <v>0</v>
      </c>
      <c r="Q74" s="174">
        <f>Założenia!P335*Założenia!P$350*Założenia!$G73/1000000</f>
        <v>0</v>
      </c>
      <c r="R74" s="174">
        <f>Założenia!Q335*Założenia!Q$350*Założenia!$G73/1000000</f>
        <v>0</v>
      </c>
      <c r="S74" s="174">
        <f>Założenia!R335*Założenia!R$350*Założenia!$G73/1000000</f>
        <v>0</v>
      </c>
      <c r="T74" s="174">
        <f>Założenia!S335*Założenia!S$350*Założenia!$G73/1000000</f>
        <v>0</v>
      </c>
      <c r="U74" s="13"/>
    </row>
    <row r="75" spans="1:21" s="32" customFormat="1" ht="12">
      <c r="A75" s="96"/>
      <c r="B75" s="109" t="s">
        <v>427</v>
      </c>
      <c r="C75" s="214" t="s">
        <v>219</v>
      </c>
      <c r="D75" s="214"/>
      <c r="E75" s="174">
        <f>Założenia!D336*Założenia!D$350*Założenia!$G74/1000000</f>
        <v>0</v>
      </c>
      <c r="F75" s="174">
        <f>Założenia!E336*Założenia!E$350*Założenia!$G74/1000000</f>
        <v>0</v>
      </c>
      <c r="G75" s="174">
        <f>Założenia!F336*Założenia!F$350*Założenia!$G74/1000000</f>
        <v>0</v>
      </c>
      <c r="H75" s="174">
        <f>Założenia!G336*Założenia!G$350*Założenia!$G74/1000000</f>
        <v>0</v>
      </c>
      <c r="I75" s="174">
        <f>Założenia!H336*Założenia!H$350*Założenia!$G74/1000000</f>
        <v>0</v>
      </c>
      <c r="J75" s="174">
        <f>Założenia!I336*Założenia!I$350*Założenia!$G74/1000000</f>
        <v>0</v>
      </c>
      <c r="K75" s="174">
        <f>Założenia!J336*Założenia!J$350*Założenia!$G74/1000000</f>
        <v>0</v>
      </c>
      <c r="L75" s="174">
        <f>Założenia!K336*Założenia!K$350*Założenia!$G74/1000000</f>
        <v>0</v>
      </c>
      <c r="M75" s="174">
        <f>Założenia!L336*Założenia!L$350*Założenia!$G74/1000000</f>
        <v>0</v>
      </c>
      <c r="N75" s="174">
        <f>Założenia!M336*Założenia!M$350*Założenia!$G74/1000000</f>
        <v>0</v>
      </c>
      <c r="O75" s="174">
        <f>Założenia!N336*Założenia!N$350*Założenia!$G74/1000000</f>
        <v>0</v>
      </c>
      <c r="P75" s="174">
        <f>Założenia!O336*Założenia!O$350*Założenia!$G74/1000000</f>
        <v>0</v>
      </c>
      <c r="Q75" s="174">
        <f>Założenia!P336*Założenia!P$350*Założenia!$G74/1000000</f>
        <v>0</v>
      </c>
      <c r="R75" s="174">
        <f>Założenia!Q336*Założenia!Q$350*Założenia!$G74/1000000</f>
        <v>0</v>
      </c>
      <c r="S75" s="174">
        <f>Założenia!R336*Założenia!R$350*Założenia!$G74/1000000</f>
        <v>0</v>
      </c>
      <c r="T75" s="174">
        <f>Założenia!S336*Założenia!S$350*Założenia!$G74/1000000</f>
        <v>0</v>
      </c>
      <c r="U75" s="13"/>
    </row>
    <row r="76" spans="1:21" s="32" customFormat="1" ht="12">
      <c r="A76" s="96"/>
      <c r="B76" s="109" t="s">
        <v>428</v>
      </c>
      <c r="C76" s="214" t="s">
        <v>219</v>
      </c>
      <c r="D76" s="214"/>
      <c r="E76" s="174">
        <f>Założenia!D337*Założenia!D$350*Założenia!$G75/1000000</f>
        <v>0</v>
      </c>
      <c r="F76" s="174">
        <f>Założenia!E337*Założenia!E$350*Założenia!$G75/1000000</f>
        <v>0</v>
      </c>
      <c r="G76" s="174">
        <f>Założenia!F337*Założenia!F$350*Założenia!$G75/1000000</f>
        <v>0</v>
      </c>
      <c r="H76" s="174">
        <f>Założenia!G337*Założenia!G$350*Założenia!$G75/1000000</f>
        <v>0</v>
      </c>
      <c r="I76" s="174">
        <f>Założenia!H337*Założenia!H$350*Założenia!$G75/1000000</f>
        <v>0</v>
      </c>
      <c r="J76" s="174">
        <f>Założenia!I337*Założenia!I$350*Założenia!$G75/1000000</f>
        <v>0</v>
      </c>
      <c r="K76" s="174">
        <f>Założenia!J337*Założenia!J$350*Założenia!$G75/1000000</f>
        <v>0</v>
      </c>
      <c r="L76" s="174">
        <f>Założenia!K337*Założenia!K$350*Założenia!$G75/1000000</f>
        <v>0</v>
      </c>
      <c r="M76" s="174">
        <f>Założenia!L337*Założenia!L$350*Założenia!$G75/1000000</f>
        <v>0</v>
      </c>
      <c r="N76" s="174">
        <f>Założenia!M337*Założenia!M$350*Założenia!$G75/1000000</f>
        <v>0</v>
      </c>
      <c r="O76" s="174">
        <f>Założenia!N337*Założenia!N$350*Założenia!$G75/1000000</f>
        <v>0</v>
      </c>
      <c r="P76" s="174">
        <f>Założenia!O337*Założenia!O$350*Założenia!$G75/1000000</f>
        <v>0</v>
      </c>
      <c r="Q76" s="174">
        <f>Założenia!P337*Założenia!P$350*Założenia!$G75/1000000</f>
        <v>0</v>
      </c>
      <c r="R76" s="174">
        <f>Założenia!Q337*Założenia!Q$350*Założenia!$G75/1000000</f>
        <v>0</v>
      </c>
      <c r="S76" s="174">
        <f>Założenia!R337*Założenia!R$350*Założenia!$G75/1000000</f>
        <v>0</v>
      </c>
      <c r="T76" s="174">
        <f>Założenia!S337*Założenia!S$350*Założenia!$G75/1000000</f>
        <v>0</v>
      </c>
      <c r="U76" s="13"/>
    </row>
    <row r="77" spans="1:21" s="32" customFormat="1" ht="12">
      <c r="A77" s="96"/>
      <c r="B77" s="109" t="s">
        <v>429</v>
      </c>
      <c r="C77" s="214" t="s">
        <v>219</v>
      </c>
      <c r="D77" s="214"/>
      <c r="E77" s="174">
        <f>Założenia!D338*Założenia!D$350*Założenia!$G76/1000000</f>
        <v>0</v>
      </c>
      <c r="F77" s="174">
        <f>Założenia!E338*Założenia!E$350*Założenia!$G76/1000000</f>
        <v>0</v>
      </c>
      <c r="G77" s="174">
        <f>Założenia!F338*Założenia!F$350*Założenia!$G76/1000000</f>
        <v>0</v>
      </c>
      <c r="H77" s="174">
        <f>Założenia!G338*Założenia!G$350*Założenia!$G76/1000000</f>
        <v>0</v>
      </c>
      <c r="I77" s="174">
        <f>Założenia!H338*Założenia!H$350*Założenia!$G76/1000000</f>
        <v>0</v>
      </c>
      <c r="J77" s="174">
        <f>Założenia!I338*Założenia!I$350*Założenia!$G76/1000000</f>
        <v>0</v>
      </c>
      <c r="K77" s="174">
        <f>Założenia!J338*Założenia!J$350*Założenia!$G76/1000000</f>
        <v>0</v>
      </c>
      <c r="L77" s="174">
        <f>Założenia!K338*Założenia!K$350*Założenia!$G76/1000000</f>
        <v>0</v>
      </c>
      <c r="M77" s="174">
        <f>Założenia!L338*Założenia!L$350*Założenia!$G76/1000000</f>
        <v>0</v>
      </c>
      <c r="N77" s="174">
        <f>Założenia!M338*Założenia!M$350*Założenia!$G76/1000000</f>
        <v>0</v>
      </c>
      <c r="O77" s="174">
        <f>Założenia!N338*Założenia!N$350*Założenia!$G76/1000000</f>
        <v>0</v>
      </c>
      <c r="P77" s="174">
        <f>Założenia!O338*Założenia!O$350*Założenia!$G76/1000000</f>
        <v>0</v>
      </c>
      <c r="Q77" s="174">
        <f>Założenia!P338*Założenia!P$350*Założenia!$G76/1000000</f>
        <v>0</v>
      </c>
      <c r="R77" s="174">
        <f>Założenia!Q338*Założenia!Q$350*Założenia!$G76/1000000</f>
        <v>0</v>
      </c>
      <c r="S77" s="174">
        <f>Założenia!R338*Założenia!R$350*Założenia!$G76/1000000</f>
        <v>0</v>
      </c>
      <c r="T77" s="174">
        <f>Założenia!S338*Założenia!S$350*Założenia!$G76/1000000</f>
        <v>0</v>
      </c>
      <c r="U77" s="13"/>
    </row>
    <row r="78" spans="1:21" s="32" customFormat="1" ht="12">
      <c r="A78" s="96"/>
      <c r="B78" s="109" t="s">
        <v>430</v>
      </c>
      <c r="C78" s="214" t="s">
        <v>219</v>
      </c>
      <c r="D78" s="214"/>
      <c r="E78" s="540">
        <f>Założenia!D339*Założenia!D$350*Założenia!$G77/1000000+Założenia!D331*E46*Założenia!$G68/1000000</f>
        <v>4.4564000000000006E-2</v>
      </c>
      <c r="F78" s="540">
        <f>Założenia!E339*Założenia!E$350*Założenia!$G77/1000000+Założenia!E331*F46*Założenia!$G68/1000000</f>
        <v>4.4600826677796329E-2</v>
      </c>
      <c r="G78" s="540">
        <f>Założenia!F339*Założenia!F$350*Założenia!$G77/1000000+Założenia!F331*G46*Założenia!$G68/1000000</f>
        <v>4.4600826677796329E-2</v>
      </c>
      <c r="H78" s="540">
        <f>Założenia!G339*Założenia!G$350*Założenia!$G77/1000000+Założenia!G331*H46*Założenia!$G68/1000000</f>
        <v>4.4600826677796329E-2</v>
      </c>
      <c r="I78" s="540">
        <f>Założenia!H339*Założenia!H$350*Założenia!$G77/1000000+Założenia!H331*I46*Założenia!$G68/1000000</f>
        <v>4.4600826677796329E-2</v>
      </c>
      <c r="J78" s="540">
        <f>Założenia!I339*Założenia!I$350*Założenia!$G77/1000000+Założenia!I331*J46*Założenia!$G68/1000000</f>
        <v>4.4600826677796329E-2</v>
      </c>
      <c r="K78" s="540">
        <f>Założenia!J339*Założenia!J$350*Założenia!$G77/1000000+Założenia!J331*K46*Założenia!$G68/1000000</f>
        <v>4.4600826677796329E-2</v>
      </c>
      <c r="L78" s="540">
        <f>Założenia!K339*Założenia!K$350*Założenia!$G77/1000000+Założenia!K331*L46*Założenia!$G68/1000000</f>
        <v>3.1343665843071793E-2</v>
      </c>
      <c r="M78" s="540">
        <f>Założenia!L339*Założenia!L$350*Założenia!$G77/1000000+Założenia!L331*M46*Założenia!$G68/1000000</f>
        <v>3.1343665843071793E-2</v>
      </c>
      <c r="N78" s="540">
        <f>Założenia!M339*Założenia!M$350*Założenia!$G77/1000000+Założenia!M331*N46*Założenia!$G68/1000000</f>
        <v>3.1343665843071793E-2</v>
      </c>
      <c r="O78" s="540">
        <f>Założenia!N339*Założenia!N$350*Założenia!$G77/1000000+Założenia!N331*O46*Założenia!$G68/1000000</f>
        <v>3.1343665843071793E-2</v>
      </c>
      <c r="P78" s="540">
        <f>Założenia!O339*Założenia!O$350*Założenia!$G77/1000000+Założenia!O331*P46*Założenia!$G68/1000000</f>
        <v>3.1343665843071793E-2</v>
      </c>
      <c r="Q78" s="540">
        <f>Założenia!P339*Założenia!P$350*Założenia!$G77/1000000+Założenia!P331*Q46*Założenia!$G68/1000000</f>
        <v>3.1343665843071793E-2</v>
      </c>
      <c r="R78" s="540">
        <f>Założenia!Q339*Założenia!Q$350*Założenia!$G77/1000000+Założenia!Q331*R46*Założenia!$G68/1000000</f>
        <v>3.1343665843071793E-2</v>
      </c>
      <c r="S78" s="540">
        <f>Założenia!R339*Założenia!R$350*Założenia!$G77/1000000+Założenia!R331*S46*Założenia!$G68/1000000</f>
        <v>3.1343665843071793E-2</v>
      </c>
      <c r="T78" s="540">
        <f>Założenia!S339*Założenia!S$350*Założenia!$G77/1000000+Założenia!S331*T46*Założenia!$G68/1000000</f>
        <v>3.1343665843071793E-2</v>
      </c>
      <c r="U78" s="13"/>
    </row>
    <row r="79" spans="1:21" s="32" customFormat="1" ht="12">
      <c r="A79" s="96"/>
      <c r="B79" s="109" t="s">
        <v>431</v>
      </c>
      <c r="C79" s="214" t="s">
        <v>219</v>
      </c>
      <c r="D79" s="214"/>
      <c r="E79" s="174">
        <f>Założenia!D340*Założenia!D$351*Założenia!$J77/1000000</f>
        <v>0</v>
      </c>
      <c r="F79" s="174">
        <f>Założenia!E340*Założenia!E$351*Założenia!$J77/1000000</f>
        <v>0</v>
      </c>
      <c r="G79" s="174">
        <f>Założenia!F340*Założenia!F$351*Założenia!$J77/1000000</f>
        <v>0</v>
      </c>
      <c r="H79" s="174">
        <f>Założenia!G340*Założenia!G$351*Założenia!$J77/1000000</f>
        <v>0</v>
      </c>
      <c r="I79" s="174">
        <f>Założenia!H340*Założenia!H$351*Założenia!$J77/1000000</f>
        <v>0</v>
      </c>
      <c r="J79" s="174">
        <f>Założenia!I340*Założenia!I$351*Założenia!$J77/1000000</f>
        <v>0</v>
      </c>
      <c r="K79" s="174">
        <f>Założenia!J340*Założenia!J$351*Założenia!$J77/1000000</f>
        <v>0</v>
      </c>
      <c r="L79" s="174">
        <f>Założenia!K340*Założenia!K$351*Założenia!$J77/1000000</f>
        <v>0</v>
      </c>
      <c r="M79" s="174">
        <f>Założenia!L340*Założenia!L$351*Założenia!$J77/1000000</f>
        <v>0</v>
      </c>
      <c r="N79" s="174">
        <f>Założenia!M340*Założenia!M$351*Założenia!$J77/1000000</f>
        <v>0</v>
      </c>
      <c r="O79" s="174">
        <f>Założenia!N340*Założenia!N$351*Założenia!$J77/1000000</f>
        <v>0</v>
      </c>
      <c r="P79" s="174">
        <f>Założenia!O340*Założenia!O$351*Założenia!$J77/1000000</f>
        <v>0</v>
      </c>
      <c r="Q79" s="174">
        <f>Założenia!P340*Założenia!P$351*Założenia!$J77/1000000</f>
        <v>0</v>
      </c>
      <c r="R79" s="174">
        <f>Założenia!Q340*Założenia!Q$351*Założenia!$J77/1000000</f>
        <v>0</v>
      </c>
      <c r="S79" s="174">
        <f>Założenia!R340*Założenia!R$351*Założenia!$J77/1000000</f>
        <v>0</v>
      </c>
      <c r="T79" s="174">
        <f>Założenia!S340*Założenia!S$351*Założenia!$J77/1000000</f>
        <v>0</v>
      </c>
      <c r="U79" s="13"/>
    </row>
    <row r="80" spans="1:21" s="1" customFormat="1" ht="12">
      <c r="A80" s="96"/>
      <c r="B80" s="110" t="s">
        <v>229</v>
      </c>
      <c r="C80" s="214" t="s">
        <v>219</v>
      </c>
      <c r="D80" s="300"/>
      <c r="E80" s="174">
        <f>Założenia!D341*Założenia!D$352*Założenia!$E$185*Założenia!$E$123*Założenia!E93/1000000</f>
        <v>0</v>
      </c>
      <c r="F80" s="174">
        <f>Założenia!E341*Założenia!E$352*Założenia!$E$185*Założenia!$E$123*Założenia!F93/1000000</f>
        <v>0</v>
      </c>
      <c r="G80" s="174">
        <f>Założenia!F341*Założenia!F$352*Założenia!$E$185*Założenia!$E$123*Założenia!G93/1000000</f>
        <v>0</v>
      </c>
      <c r="H80" s="174">
        <f>Założenia!G341*Założenia!G$352*Założenia!$E$185*Założenia!$E$123*Założenia!H93/1000000</f>
        <v>0</v>
      </c>
      <c r="I80" s="174">
        <f>Założenia!H341*Założenia!H$352*Założenia!$E$185*Założenia!$E$123*Założenia!I93/1000000</f>
        <v>0</v>
      </c>
      <c r="J80" s="174">
        <f>Założenia!I341*Założenia!I$352*Założenia!$E$185*Założenia!$E$123*Założenia!J93/1000000</f>
        <v>0</v>
      </c>
      <c r="K80" s="174">
        <f>Założenia!J341*Założenia!J$352*Założenia!$E$185*Założenia!$E$123*Założenia!K93/1000000</f>
        <v>0</v>
      </c>
      <c r="L80" s="174">
        <f>Założenia!K341*Założenia!K$352*Założenia!$E$185*Założenia!$E$123*Założenia!L93/1000000</f>
        <v>2.1478613569384755E-2</v>
      </c>
      <c r="M80" s="174">
        <f>Założenia!L341*Założenia!L$352*Założenia!$E$185*Założenia!$E$123*Założenia!M93/1000000</f>
        <v>2.114309478850749E-2</v>
      </c>
      <c r="N80" s="174">
        <f>Założenia!M341*Założenia!M$352*Założenia!$E$185*Założenia!$E$123*Założenia!N93/1000000</f>
        <v>2.0807576007630231E-2</v>
      </c>
      <c r="O80" s="174">
        <f>Założenia!N341*Założenia!N$352*Założenia!$E$185*Założenia!$E$123*Założenia!O93/1000000</f>
        <v>1.9773961698798668E-2</v>
      </c>
      <c r="P80" s="174">
        <f>Założenia!O341*Założenia!O$352*Założenia!$E$185*Założenia!$E$123*Założenia!P93/1000000</f>
        <v>1.8740347389967098E-2</v>
      </c>
      <c r="Q80" s="174">
        <f>Założenia!P341*Założenia!P$352*Założenia!$E$185*Założenia!$E$123*Założenia!Q93/1000000</f>
        <v>1.7706733081135531E-2</v>
      </c>
      <c r="R80" s="174">
        <f>Założenia!Q341*Założenia!Q$352*Założenia!$E$185*Założenia!$E$123*Założenia!R93/1000000</f>
        <v>1.6673118772303964E-2</v>
      </c>
      <c r="S80" s="174">
        <f>Założenia!R341*Założenia!R$352*Założenia!$E$185*Założenia!$E$123*Założenia!S93/1000000</f>
        <v>1.5639504463472398E-2</v>
      </c>
      <c r="T80" s="174">
        <f>Założenia!S341*Założenia!S$352*Założenia!$E$185*Założenia!$E$123*Założenia!T93/1000000</f>
        <v>1.4408367001382441E-2</v>
      </c>
    </row>
    <row r="81" spans="1:21" s="26" customFormat="1">
      <c r="A81" s="96" t="s">
        <v>61</v>
      </c>
      <c r="B81" s="112" t="s">
        <v>186</v>
      </c>
      <c r="C81" s="214" t="s">
        <v>246</v>
      </c>
      <c r="D81" s="214"/>
      <c r="E81" s="194">
        <f>E82+E90</f>
        <v>0.57933199999999996</v>
      </c>
      <c r="F81" s="194">
        <f t="shared" ref="F81:T81" si="16">F82+F90</f>
        <v>0.57981074681135236</v>
      </c>
      <c r="G81" s="194">
        <f t="shared" si="16"/>
        <v>0.57981074681135236</v>
      </c>
      <c r="H81" s="194">
        <f t="shared" si="16"/>
        <v>0.57981074681135236</v>
      </c>
      <c r="I81" s="194">
        <f t="shared" si="16"/>
        <v>0.57981074681135236</v>
      </c>
      <c r="J81" s="194">
        <f t="shared" si="16"/>
        <v>0.57981074681135236</v>
      </c>
      <c r="K81" s="194">
        <f t="shared" si="16"/>
        <v>0.57981074681135236</v>
      </c>
      <c r="L81" s="194">
        <f t="shared" si="16"/>
        <v>0.41167456431324329</v>
      </c>
      <c r="M81" s="194">
        <f t="shared" si="16"/>
        <v>0.41160690582163345</v>
      </c>
      <c r="N81" s="194">
        <f t="shared" si="16"/>
        <v>0.41153924733002362</v>
      </c>
      <c r="O81" s="194">
        <f t="shared" si="16"/>
        <v>0.41133868822989456</v>
      </c>
      <c r="P81" s="194">
        <f t="shared" si="16"/>
        <v>0.41113812912976549</v>
      </c>
      <c r="Q81" s="194">
        <f t="shared" si="16"/>
        <v>0.41093757002963638</v>
      </c>
      <c r="R81" s="194">
        <f t="shared" si="16"/>
        <v>0.41073701092950732</v>
      </c>
      <c r="S81" s="194">
        <f t="shared" si="16"/>
        <v>0.41053645182937826</v>
      </c>
      <c r="T81" s="194">
        <f t="shared" si="16"/>
        <v>0.41028877342259235</v>
      </c>
      <c r="U81" s="13"/>
    </row>
    <row r="82" spans="1:21" s="26" customFormat="1">
      <c r="A82" s="96"/>
      <c r="B82" s="166" t="s">
        <v>343</v>
      </c>
      <c r="C82" s="214" t="s">
        <v>246</v>
      </c>
      <c r="D82" s="214"/>
      <c r="E82" s="194">
        <f>SUM(E83:E89)</f>
        <v>0.57933199999999996</v>
      </c>
      <c r="F82" s="194">
        <f t="shared" ref="F82:T82" si="17">SUM(F83:F89)</f>
        <v>0.57981074681135236</v>
      </c>
      <c r="G82" s="194">
        <f t="shared" si="17"/>
        <v>0.57981074681135236</v>
      </c>
      <c r="H82" s="194">
        <f t="shared" si="17"/>
        <v>0.57981074681135236</v>
      </c>
      <c r="I82" s="194">
        <f t="shared" si="17"/>
        <v>0.57981074681135236</v>
      </c>
      <c r="J82" s="194">
        <f t="shared" si="17"/>
        <v>0.57981074681135236</v>
      </c>
      <c r="K82" s="194">
        <f t="shared" si="17"/>
        <v>0.57981074681135236</v>
      </c>
      <c r="L82" s="194">
        <f t="shared" si="17"/>
        <v>0.40746765595993328</v>
      </c>
      <c r="M82" s="194">
        <f t="shared" si="17"/>
        <v>0.40746765595993328</v>
      </c>
      <c r="N82" s="194">
        <f t="shared" si="17"/>
        <v>0.40746765595993328</v>
      </c>
      <c r="O82" s="194">
        <f t="shared" si="17"/>
        <v>0.40746765595993328</v>
      </c>
      <c r="P82" s="194">
        <f t="shared" si="17"/>
        <v>0.40746765595993328</v>
      </c>
      <c r="Q82" s="194">
        <f t="shared" si="17"/>
        <v>0.40746765595993328</v>
      </c>
      <c r="R82" s="194">
        <f t="shared" si="17"/>
        <v>0.40746765595993328</v>
      </c>
      <c r="S82" s="194">
        <f t="shared" si="17"/>
        <v>0.40746765595993328</v>
      </c>
      <c r="T82" s="194">
        <f t="shared" si="17"/>
        <v>0.40746765595993328</v>
      </c>
      <c r="U82" s="13"/>
    </row>
    <row r="83" spans="1:21" s="26" customFormat="1">
      <c r="A83" s="96"/>
      <c r="B83" s="109" t="s">
        <v>426</v>
      </c>
      <c r="C83" s="214" t="s">
        <v>246</v>
      </c>
      <c r="D83" s="214"/>
      <c r="E83" s="174">
        <f>Założenia!D334*Założenia!D$350*Założenia!$E72/1000000</f>
        <v>0</v>
      </c>
      <c r="F83" s="174">
        <f>Założenia!E334*Założenia!E$350*Założenia!$E72/1000000</f>
        <v>0</v>
      </c>
      <c r="G83" s="174">
        <f>Założenia!F334*Założenia!F$350*Założenia!$E72/1000000</f>
        <v>0</v>
      </c>
      <c r="H83" s="174">
        <f>Założenia!G334*Założenia!G$350*Założenia!$E72/1000000</f>
        <v>0</v>
      </c>
      <c r="I83" s="174">
        <f>Założenia!H334*Założenia!H$350*Założenia!$E72/1000000</f>
        <v>0</v>
      </c>
      <c r="J83" s="174">
        <f>Założenia!I334*Założenia!I$350*Założenia!$E72/1000000</f>
        <v>0</v>
      </c>
      <c r="K83" s="174">
        <f>Założenia!J334*Założenia!J$350*Założenia!$E72/1000000</f>
        <v>0</v>
      </c>
      <c r="L83" s="174">
        <f>Założenia!K334*Założenia!K$350*Założenia!$E72/1000000</f>
        <v>0</v>
      </c>
      <c r="M83" s="174">
        <f>Założenia!L334*Założenia!L$350*Założenia!$E72/1000000</f>
        <v>0</v>
      </c>
      <c r="N83" s="174">
        <f>Założenia!M334*Założenia!M$350*Założenia!$E72/1000000</f>
        <v>0</v>
      </c>
      <c r="O83" s="174">
        <f>Założenia!N334*Założenia!N$350*Założenia!$E72/1000000</f>
        <v>0</v>
      </c>
      <c r="P83" s="174">
        <f>Założenia!O334*Założenia!O$350*Założenia!$E72/1000000</f>
        <v>0</v>
      </c>
      <c r="Q83" s="174">
        <f>Założenia!P334*Założenia!P$350*Założenia!$E72/1000000</f>
        <v>0</v>
      </c>
      <c r="R83" s="174">
        <f>Założenia!Q334*Założenia!Q$350*Założenia!$E72/1000000</f>
        <v>0</v>
      </c>
      <c r="S83" s="174">
        <f>Założenia!R334*Założenia!R$350*Założenia!$E72/1000000</f>
        <v>0</v>
      </c>
      <c r="T83" s="174">
        <f>Założenia!S334*Założenia!S$350*Założenia!$E72/1000000</f>
        <v>0</v>
      </c>
      <c r="U83" s="13"/>
    </row>
    <row r="84" spans="1:21" s="32" customFormat="1" ht="12">
      <c r="A84" s="96"/>
      <c r="B84" s="109" t="s">
        <v>432</v>
      </c>
      <c r="C84" s="214" t="s">
        <v>246</v>
      </c>
      <c r="D84" s="214"/>
      <c r="E84" s="174">
        <f>Założenia!D335*Założenia!D$350*Założenia!$E73/1000000</f>
        <v>0</v>
      </c>
      <c r="F84" s="174">
        <f>Założenia!E335*Założenia!E$350*Założenia!$E73/1000000</f>
        <v>0</v>
      </c>
      <c r="G84" s="174">
        <f>Założenia!F335*Założenia!F$350*Założenia!$E73/1000000</f>
        <v>0</v>
      </c>
      <c r="H84" s="174">
        <f>Założenia!G335*Założenia!G$350*Założenia!$E73/1000000</f>
        <v>0</v>
      </c>
      <c r="I84" s="174">
        <f>Założenia!H335*Założenia!H$350*Założenia!$E73/1000000</f>
        <v>0</v>
      </c>
      <c r="J84" s="174">
        <f>Założenia!I335*Założenia!I$350*Założenia!$E73/1000000</f>
        <v>0</v>
      </c>
      <c r="K84" s="174">
        <f>Założenia!J335*Założenia!J$350*Założenia!$E73/1000000</f>
        <v>0</v>
      </c>
      <c r="L84" s="174">
        <f>Założenia!K335*Założenia!K$350*Założenia!$E73/1000000</f>
        <v>0</v>
      </c>
      <c r="M84" s="174">
        <f>Założenia!L335*Założenia!L$350*Założenia!$E73/1000000</f>
        <v>0</v>
      </c>
      <c r="N84" s="174">
        <f>Założenia!M335*Założenia!M$350*Założenia!$E73/1000000</f>
        <v>0</v>
      </c>
      <c r="O84" s="174">
        <f>Założenia!N335*Założenia!N$350*Założenia!$E73/1000000</f>
        <v>0</v>
      </c>
      <c r="P84" s="174">
        <f>Założenia!O335*Założenia!O$350*Założenia!$E73/1000000</f>
        <v>0</v>
      </c>
      <c r="Q84" s="174">
        <f>Założenia!P335*Założenia!P$350*Założenia!$E73/1000000</f>
        <v>0</v>
      </c>
      <c r="R84" s="174">
        <f>Założenia!Q335*Założenia!Q$350*Założenia!$E73/1000000</f>
        <v>0</v>
      </c>
      <c r="S84" s="174">
        <f>Założenia!R335*Założenia!R$350*Założenia!$E73/1000000</f>
        <v>0</v>
      </c>
      <c r="T84" s="174">
        <f>Założenia!S335*Założenia!S$350*Założenia!$E73/1000000</f>
        <v>0</v>
      </c>
      <c r="U84" s="13"/>
    </row>
    <row r="85" spans="1:21" s="32" customFormat="1" ht="12">
      <c r="A85" s="96"/>
      <c r="B85" s="109" t="s">
        <v>427</v>
      </c>
      <c r="C85" s="214" t="s">
        <v>246</v>
      </c>
      <c r="D85" s="214"/>
      <c r="E85" s="174">
        <f>Założenia!D336*Założenia!D$350*Założenia!$E74/1000000</f>
        <v>0</v>
      </c>
      <c r="F85" s="174">
        <f>Założenia!E336*Założenia!E$350*Założenia!$E74/1000000</f>
        <v>0</v>
      </c>
      <c r="G85" s="174">
        <f>Założenia!F336*Założenia!F$350*Założenia!$E74/1000000</f>
        <v>0</v>
      </c>
      <c r="H85" s="174">
        <f>Założenia!G336*Założenia!G$350*Założenia!$E74/1000000</f>
        <v>0</v>
      </c>
      <c r="I85" s="174">
        <f>Założenia!H336*Założenia!H$350*Założenia!$E74/1000000</f>
        <v>0</v>
      </c>
      <c r="J85" s="174">
        <f>Założenia!I336*Założenia!I$350*Założenia!$E74/1000000</f>
        <v>0</v>
      </c>
      <c r="K85" s="174">
        <f>Założenia!J336*Założenia!J$350*Założenia!$E74/1000000</f>
        <v>0</v>
      </c>
      <c r="L85" s="174">
        <f>Założenia!K336*Założenia!K$350*Założenia!$E74/1000000</f>
        <v>0</v>
      </c>
      <c r="M85" s="174">
        <f>Założenia!L336*Założenia!L$350*Założenia!$E74/1000000</f>
        <v>0</v>
      </c>
      <c r="N85" s="174">
        <f>Założenia!M336*Założenia!M$350*Założenia!$E74/1000000</f>
        <v>0</v>
      </c>
      <c r="O85" s="174">
        <f>Założenia!N336*Założenia!N$350*Założenia!$E74/1000000</f>
        <v>0</v>
      </c>
      <c r="P85" s="174">
        <f>Założenia!O336*Założenia!O$350*Założenia!$E74/1000000</f>
        <v>0</v>
      </c>
      <c r="Q85" s="174">
        <f>Założenia!P336*Założenia!P$350*Założenia!$E74/1000000</f>
        <v>0</v>
      </c>
      <c r="R85" s="174">
        <f>Założenia!Q336*Założenia!Q$350*Założenia!$E74/1000000</f>
        <v>0</v>
      </c>
      <c r="S85" s="174">
        <f>Założenia!R336*Założenia!R$350*Założenia!$E74/1000000</f>
        <v>0</v>
      </c>
      <c r="T85" s="174">
        <f>Założenia!S336*Założenia!S$350*Założenia!$E74/1000000</f>
        <v>0</v>
      </c>
      <c r="U85" s="13"/>
    </row>
    <row r="86" spans="1:21" s="32" customFormat="1" ht="12">
      <c r="A86" s="96"/>
      <c r="B86" s="109" t="s">
        <v>428</v>
      </c>
      <c r="C86" s="214" t="s">
        <v>246</v>
      </c>
      <c r="D86" s="214"/>
      <c r="E86" s="174">
        <f>Założenia!D337*Założenia!D$350*Założenia!$E75/1000000</f>
        <v>0</v>
      </c>
      <c r="F86" s="174">
        <f>Założenia!E337*Założenia!E$350*Założenia!$E75/1000000</f>
        <v>0</v>
      </c>
      <c r="G86" s="174">
        <f>Założenia!F337*Założenia!F$350*Założenia!$E75/1000000</f>
        <v>0</v>
      </c>
      <c r="H86" s="174">
        <f>Założenia!G337*Założenia!G$350*Założenia!$E75/1000000</f>
        <v>0</v>
      </c>
      <c r="I86" s="174">
        <f>Założenia!H337*Założenia!H$350*Założenia!$E75/1000000</f>
        <v>0</v>
      </c>
      <c r="J86" s="174">
        <f>Założenia!I337*Założenia!I$350*Założenia!$E75/1000000</f>
        <v>0</v>
      </c>
      <c r="K86" s="174">
        <f>Założenia!J337*Założenia!J$350*Założenia!$E75/1000000</f>
        <v>0</v>
      </c>
      <c r="L86" s="174">
        <f>Założenia!K337*Założenia!K$350*Założenia!$E75/1000000</f>
        <v>0</v>
      </c>
      <c r="M86" s="174">
        <f>Założenia!L337*Założenia!L$350*Założenia!$E75/1000000</f>
        <v>0</v>
      </c>
      <c r="N86" s="174">
        <f>Założenia!M337*Założenia!M$350*Założenia!$E75/1000000</f>
        <v>0</v>
      </c>
      <c r="O86" s="174">
        <f>Założenia!N337*Założenia!N$350*Założenia!$E75/1000000</f>
        <v>0</v>
      </c>
      <c r="P86" s="174">
        <f>Założenia!O337*Założenia!O$350*Założenia!$E75/1000000</f>
        <v>0</v>
      </c>
      <c r="Q86" s="174">
        <f>Założenia!P337*Założenia!P$350*Założenia!$E75/1000000</f>
        <v>0</v>
      </c>
      <c r="R86" s="174">
        <f>Założenia!Q337*Założenia!Q$350*Założenia!$E75/1000000</f>
        <v>0</v>
      </c>
      <c r="S86" s="174">
        <f>Założenia!R337*Założenia!R$350*Założenia!$E75/1000000</f>
        <v>0</v>
      </c>
      <c r="T86" s="174">
        <f>Założenia!S337*Założenia!S$350*Założenia!$E75/1000000</f>
        <v>0</v>
      </c>
      <c r="U86" s="13"/>
    </row>
    <row r="87" spans="1:21" s="32" customFormat="1" ht="12">
      <c r="A87" s="96"/>
      <c r="B87" s="109" t="s">
        <v>429</v>
      </c>
      <c r="C87" s="214" t="s">
        <v>246</v>
      </c>
      <c r="D87" s="214"/>
      <c r="E87" s="174">
        <f>Założenia!D338*Założenia!D$350*Założenia!$E76/1000000</f>
        <v>0</v>
      </c>
      <c r="F87" s="174">
        <f>Założenia!E338*Założenia!E$350*Założenia!$E76/1000000</f>
        <v>0</v>
      </c>
      <c r="G87" s="174">
        <f>Założenia!F338*Założenia!F$350*Założenia!$E76/1000000</f>
        <v>0</v>
      </c>
      <c r="H87" s="174">
        <f>Założenia!G338*Założenia!G$350*Założenia!$E76/1000000</f>
        <v>0</v>
      </c>
      <c r="I87" s="174">
        <f>Założenia!H338*Założenia!H$350*Założenia!$E76/1000000</f>
        <v>0</v>
      </c>
      <c r="J87" s="174">
        <f>Założenia!I338*Założenia!I$350*Założenia!$E76/1000000</f>
        <v>0</v>
      </c>
      <c r="K87" s="174">
        <f>Założenia!J338*Założenia!J$350*Założenia!$E76/1000000</f>
        <v>0</v>
      </c>
      <c r="L87" s="174">
        <f>Założenia!K338*Założenia!K$350*Założenia!$E76/1000000</f>
        <v>0</v>
      </c>
      <c r="M87" s="174">
        <f>Założenia!L338*Założenia!L$350*Założenia!$E76/1000000</f>
        <v>0</v>
      </c>
      <c r="N87" s="174">
        <f>Założenia!M338*Założenia!M$350*Założenia!$E76/1000000</f>
        <v>0</v>
      </c>
      <c r="O87" s="174">
        <f>Założenia!N338*Założenia!N$350*Założenia!$E76/1000000</f>
        <v>0</v>
      </c>
      <c r="P87" s="174">
        <f>Założenia!O338*Założenia!O$350*Założenia!$E76/1000000</f>
        <v>0</v>
      </c>
      <c r="Q87" s="174">
        <f>Założenia!P338*Założenia!P$350*Założenia!$E76/1000000</f>
        <v>0</v>
      </c>
      <c r="R87" s="174">
        <f>Założenia!Q338*Założenia!Q$350*Założenia!$E76/1000000</f>
        <v>0</v>
      </c>
      <c r="S87" s="174">
        <f>Założenia!R338*Założenia!R$350*Założenia!$E76/1000000</f>
        <v>0</v>
      </c>
      <c r="T87" s="174">
        <f>Założenia!S338*Założenia!S$350*Założenia!$E76/1000000</f>
        <v>0</v>
      </c>
      <c r="U87" s="13"/>
    </row>
    <row r="88" spans="1:21" s="32" customFormat="1" ht="12">
      <c r="A88" s="96"/>
      <c r="B88" s="109" t="s">
        <v>430</v>
      </c>
      <c r="C88" s="214" t="s">
        <v>246</v>
      </c>
      <c r="D88" s="214"/>
      <c r="E88" s="540">
        <f>Założenia!D339*Założenia!D$350*Założenia!$E77/1000000+Założenia!D331*E46*Założenia!$E68/1000000</f>
        <v>0.57933199999999996</v>
      </c>
      <c r="F88" s="540">
        <f>Założenia!E339*Założenia!E$350*Założenia!$E77/1000000+Założenia!E331*F46*Założenia!$E68/1000000</f>
        <v>0.57981074681135236</v>
      </c>
      <c r="G88" s="540">
        <f>Założenia!F339*Założenia!F$350*Założenia!$E77/1000000+Założenia!F331*G46*Założenia!$E68/1000000</f>
        <v>0.57981074681135236</v>
      </c>
      <c r="H88" s="540">
        <f>Założenia!G339*Założenia!G$350*Założenia!$E77/1000000+Założenia!G331*H46*Założenia!$E68/1000000</f>
        <v>0.57981074681135236</v>
      </c>
      <c r="I88" s="540">
        <f>Założenia!H339*Założenia!H$350*Założenia!$E77/1000000+Założenia!H331*I46*Założenia!$E68/1000000</f>
        <v>0.57981074681135236</v>
      </c>
      <c r="J88" s="540">
        <f>Założenia!I339*Założenia!I$350*Założenia!$E77/1000000+Założenia!I331*J46*Założenia!$E68/1000000</f>
        <v>0.57981074681135236</v>
      </c>
      <c r="K88" s="540">
        <f>Założenia!J339*Założenia!J$350*Założenia!$E77/1000000+Założenia!J331*K46*Założenia!$E68/1000000</f>
        <v>0.57981074681135236</v>
      </c>
      <c r="L88" s="540">
        <f>Założenia!K339*Założenia!K$350*Założenia!$E77/1000000+Założenia!K331*L46*Założenia!$E68/1000000</f>
        <v>0.40746765595993328</v>
      </c>
      <c r="M88" s="540">
        <f>Założenia!L339*Założenia!L$350*Założenia!$E77/1000000+Założenia!L331*M46*Założenia!$E68/1000000</f>
        <v>0.40746765595993328</v>
      </c>
      <c r="N88" s="540">
        <f>Założenia!M339*Założenia!M$350*Założenia!$E77/1000000+Założenia!M331*N46*Założenia!$E68/1000000</f>
        <v>0.40746765595993328</v>
      </c>
      <c r="O88" s="540">
        <f>Założenia!N339*Założenia!N$350*Założenia!$E77/1000000+Założenia!N331*O46*Założenia!$E68/1000000</f>
        <v>0.40746765595993328</v>
      </c>
      <c r="P88" s="540">
        <f>Założenia!O339*Założenia!O$350*Założenia!$E77/1000000+Założenia!O331*P46*Założenia!$E68/1000000</f>
        <v>0.40746765595993328</v>
      </c>
      <c r="Q88" s="540">
        <f>Założenia!P339*Założenia!P$350*Założenia!$E77/1000000+Założenia!P331*Q46*Założenia!$E68/1000000</f>
        <v>0.40746765595993328</v>
      </c>
      <c r="R88" s="540">
        <f>Założenia!Q339*Założenia!Q$350*Założenia!$E77/1000000+Założenia!Q331*R46*Założenia!$E68/1000000</f>
        <v>0.40746765595993328</v>
      </c>
      <c r="S88" s="540">
        <f>Założenia!R339*Założenia!R$350*Założenia!$E77/1000000+Założenia!R331*S46*Założenia!$E68/1000000</f>
        <v>0.40746765595993328</v>
      </c>
      <c r="T88" s="540">
        <f>Założenia!S339*Założenia!S$350*Założenia!$E77/1000000+Założenia!S331*T46*Założenia!$E68/1000000</f>
        <v>0.40746765595993328</v>
      </c>
      <c r="U88" s="13"/>
    </row>
    <row r="89" spans="1:21" s="32" customFormat="1" ht="12">
      <c r="A89" s="96"/>
      <c r="B89" s="109" t="s">
        <v>431</v>
      </c>
      <c r="C89" s="214" t="s">
        <v>246</v>
      </c>
      <c r="D89" s="214"/>
      <c r="E89" s="174">
        <f>Założenia!D340*Założenia!D$351*Założenia!$H77/1000000</f>
        <v>0</v>
      </c>
      <c r="F89" s="174">
        <f>Założenia!E340*Założenia!E$351*Założenia!$H77/1000000</f>
        <v>0</v>
      </c>
      <c r="G89" s="174">
        <f>Założenia!F340*Założenia!F$351*Założenia!$H77/1000000</f>
        <v>0</v>
      </c>
      <c r="H89" s="174">
        <f>Założenia!G340*Założenia!G$351*Założenia!$H77/1000000</f>
        <v>0</v>
      </c>
      <c r="I89" s="174">
        <f>Założenia!H340*Założenia!H$351*Założenia!$H77/1000000</f>
        <v>0</v>
      </c>
      <c r="J89" s="174">
        <f>Założenia!I340*Założenia!I$351*Założenia!$H77/1000000</f>
        <v>0</v>
      </c>
      <c r="K89" s="174">
        <f>Założenia!J340*Założenia!J$351*Założenia!$H77/1000000</f>
        <v>0</v>
      </c>
      <c r="L89" s="174">
        <f>Założenia!K340*Założenia!K$351*Założenia!$H77/1000000</f>
        <v>0</v>
      </c>
      <c r="M89" s="174">
        <f>Założenia!L340*Założenia!L$351*Założenia!$H77/1000000</f>
        <v>0</v>
      </c>
      <c r="N89" s="174">
        <f>Założenia!M340*Założenia!M$351*Założenia!$H77/1000000</f>
        <v>0</v>
      </c>
      <c r="O89" s="174">
        <f>Założenia!N340*Założenia!N$351*Założenia!$H77/1000000</f>
        <v>0</v>
      </c>
      <c r="P89" s="174">
        <f>Założenia!O340*Założenia!O$351*Założenia!$H77/1000000</f>
        <v>0</v>
      </c>
      <c r="Q89" s="174">
        <f>Założenia!P340*Założenia!P$351*Założenia!$H77/1000000</f>
        <v>0</v>
      </c>
      <c r="R89" s="174">
        <f>Założenia!Q340*Założenia!Q$351*Założenia!$H77/1000000</f>
        <v>0</v>
      </c>
      <c r="S89" s="174">
        <f>Założenia!R340*Założenia!R$351*Założenia!$H77/1000000</f>
        <v>0</v>
      </c>
      <c r="T89" s="174">
        <f>Założenia!S340*Założenia!S$351*Założenia!$H77/1000000</f>
        <v>0</v>
      </c>
      <c r="U89" s="13"/>
    </row>
    <row r="90" spans="1:21" s="1" customFormat="1" ht="12">
      <c r="A90" s="96"/>
      <c r="B90" s="110" t="s">
        <v>229</v>
      </c>
      <c r="C90" s="214" t="s">
        <v>246</v>
      </c>
      <c r="D90" s="300"/>
      <c r="E90" s="194">
        <f>Założenia!D341*Założenia!D$352*Założenia!$E$185*Założenia!$E$123*Założenia!E90/1000000</f>
        <v>0</v>
      </c>
      <c r="F90" s="194">
        <f>Założenia!E341*Założenia!E$352*Założenia!$E$185*Założenia!$E$123*Założenia!F90/1000000</f>
        <v>0</v>
      </c>
      <c r="G90" s="194">
        <f>Założenia!F341*Założenia!F$352*Założenia!$E$185*Założenia!$E$123*Założenia!G90/1000000</f>
        <v>0</v>
      </c>
      <c r="H90" s="194">
        <f>Założenia!G341*Założenia!G$352*Założenia!$E$185*Założenia!$E$123*Założenia!H90/1000000</f>
        <v>0</v>
      </c>
      <c r="I90" s="194">
        <f>Założenia!H341*Założenia!H$352*Założenia!$E$185*Założenia!$E$123*Założenia!I90/1000000</f>
        <v>0</v>
      </c>
      <c r="J90" s="194">
        <f>Założenia!I341*Założenia!I$352*Założenia!$E$185*Założenia!$E$123*Założenia!J90/1000000</f>
        <v>0</v>
      </c>
      <c r="K90" s="194">
        <f>Założenia!J341*Założenia!J$352*Założenia!$E$185*Założenia!$E$123*Założenia!K90/1000000</f>
        <v>0</v>
      </c>
      <c r="L90" s="194">
        <f>Założenia!K341*Założenia!K$352*Założenia!$E$185*Założenia!$E$123*Założenia!L90/1000000</f>
        <v>4.2069083533099747E-3</v>
      </c>
      <c r="M90" s="194">
        <f>Założenia!L341*Założenia!L$352*Założenia!$E$185*Założenia!$E$123*Założenia!M90/1000000</f>
        <v>4.1392498617001646E-3</v>
      </c>
      <c r="N90" s="194">
        <f>Założenia!M341*Założenia!M$352*Założenia!$E$185*Założenia!$E$123*Założenia!N90/1000000</f>
        <v>4.0715913700903545E-3</v>
      </c>
      <c r="O90" s="194">
        <f>Założenia!N341*Założenia!N$352*Założenia!$E$185*Założenia!$E$123*Założenia!O90/1000000</f>
        <v>3.8710322699612746E-3</v>
      </c>
      <c r="P90" s="194">
        <f>Założenia!O341*Założenia!O$352*Założenia!$E$185*Założenia!$E$123*Założenia!P90/1000000</f>
        <v>3.6704731698321948E-3</v>
      </c>
      <c r="Q90" s="194">
        <f>Założenia!P341*Założenia!P$352*Założenia!$E$185*Założenia!$E$123*Założenia!Q90/1000000</f>
        <v>3.469914069703115E-3</v>
      </c>
      <c r="R90" s="194">
        <f>Założenia!Q341*Założenia!Q$352*Założenia!$E$185*Założenia!$E$123*Założenia!R90/1000000</f>
        <v>3.2693549695740347E-3</v>
      </c>
      <c r="S90" s="194">
        <f>Założenia!R341*Założenia!R$352*Założenia!$E$185*Założenia!$E$123*Założenia!S90/1000000</f>
        <v>3.0687958694449557E-3</v>
      </c>
      <c r="T90" s="194">
        <f>Założenia!S341*Założenia!S$352*Założenia!$E$185*Założenia!$E$123*Założenia!T90/1000000</f>
        <v>2.821117462659044E-3</v>
      </c>
    </row>
    <row r="91" spans="1:21" s="26" customFormat="1">
      <c r="A91" s="108" t="s">
        <v>30</v>
      </c>
      <c r="B91" s="166" t="s">
        <v>161</v>
      </c>
      <c r="C91" s="214" t="s">
        <v>0</v>
      </c>
      <c r="D91" s="301"/>
      <c r="E91" s="107">
        <f>E95+E99+E107+E103</f>
        <v>747171.99006582634</v>
      </c>
      <c r="F91" s="107">
        <f t="shared" ref="F91:T91" si="18">F95+F99+F107+F103</f>
        <v>778215.27616428293</v>
      </c>
      <c r="G91" s="107">
        <f t="shared" si="18"/>
        <v>808103.0823933793</v>
      </c>
      <c r="H91" s="107">
        <f t="shared" si="18"/>
        <v>833416.70504552557</v>
      </c>
      <c r="I91" s="107">
        <f t="shared" si="18"/>
        <v>858307.58262687316</v>
      </c>
      <c r="J91" s="107">
        <f t="shared" si="18"/>
        <v>884069.70969147212</v>
      </c>
      <c r="K91" s="107">
        <f t="shared" si="18"/>
        <v>910737.81801011821</v>
      </c>
      <c r="L91" s="107">
        <f t="shared" si="18"/>
        <v>718961.13896470808</v>
      </c>
      <c r="M91" s="107">
        <f t="shared" si="18"/>
        <v>739711.48342368309</v>
      </c>
      <c r="N91" s="107">
        <f t="shared" si="18"/>
        <v>759981.69149966014</v>
      </c>
      <c r="O91" s="107">
        <f t="shared" si="18"/>
        <v>779694.91739088146</v>
      </c>
      <c r="P91" s="107">
        <f t="shared" si="18"/>
        <v>799417.297552348</v>
      </c>
      <c r="Q91" s="107">
        <f t="shared" si="18"/>
        <v>819115.77332370717</v>
      </c>
      <c r="R91" s="107">
        <f t="shared" si="18"/>
        <v>838754.88050072547</v>
      </c>
      <c r="S91" s="107">
        <f t="shared" si="18"/>
        <v>858296.35159067367</v>
      </c>
      <c r="T91" s="107">
        <f t="shared" si="18"/>
        <v>878387.15927685937</v>
      </c>
      <c r="U91" s="13"/>
    </row>
    <row r="92" spans="1:21" s="26" customFormat="1">
      <c r="A92" s="96" t="s">
        <v>51</v>
      </c>
      <c r="B92" s="166" t="s">
        <v>456</v>
      </c>
      <c r="C92" s="214"/>
      <c r="D92" s="214"/>
      <c r="E92" s="172"/>
      <c r="F92" s="172"/>
      <c r="G92" s="172"/>
      <c r="H92" s="172"/>
      <c r="I92" s="172"/>
      <c r="J92" s="172"/>
      <c r="K92" s="172"/>
      <c r="L92" s="172"/>
      <c r="M92" s="172"/>
      <c r="N92" s="172"/>
      <c r="O92" s="172"/>
      <c r="P92" s="172"/>
      <c r="Q92" s="172"/>
      <c r="R92" s="172"/>
      <c r="S92" s="172"/>
      <c r="T92" s="172"/>
      <c r="U92" s="13"/>
    </row>
    <row r="93" spans="1:21" s="26" customFormat="1">
      <c r="A93" s="96"/>
      <c r="B93" s="112" t="s">
        <v>162</v>
      </c>
      <c r="C93" s="214" t="s">
        <v>146</v>
      </c>
      <c r="D93" s="214"/>
      <c r="E93" s="173">
        <f>Założenia!E26</f>
        <v>0.35782385425306568</v>
      </c>
      <c r="F93" s="173">
        <f>Założenia!F26</f>
        <v>0.37238288766487126</v>
      </c>
      <c r="G93" s="173">
        <f>Założenia!G26</f>
        <v>0.3866844670998264</v>
      </c>
      <c r="H93" s="173">
        <f>Założenia!H26</f>
        <v>0.39879725926567333</v>
      </c>
      <c r="I93" s="173">
        <f>Założenia!I26</f>
        <v>0.4107077641788387</v>
      </c>
      <c r="J93" s="173">
        <f>Założenia!J26</f>
        <v>0.42303516967001475</v>
      </c>
      <c r="K93" s="173">
        <f>Założenia!K26</f>
        <v>0.4357960951984936</v>
      </c>
      <c r="L93" s="173">
        <f>Założenia!L26</f>
        <v>0.4486581865950911</v>
      </c>
      <c r="M93" s="173">
        <f>Założenia!M26</f>
        <v>0.46160716451842254</v>
      </c>
      <c r="N93" s="173">
        <f>Założenia!N26</f>
        <v>0.47425651968436211</v>
      </c>
      <c r="O93" s="173">
        <f>Założenia!O26</f>
        <v>0.48655829748702706</v>
      </c>
      <c r="P93" s="173">
        <f>Założenia!P26</f>
        <v>0.49886578789092351</v>
      </c>
      <c r="Q93" s="173">
        <f>Założenia!Q26</f>
        <v>0.51115836107643908</v>
      </c>
      <c r="R93" s="173">
        <f>Założenia!R26</f>
        <v>0.52341388607612926</v>
      </c>
      <c r="S93" s="173">
        <f>Założenia!S26</f>
        <v>0.53560848256745219</v>
      </c>
      <c r="T93" s="173">
        <f>Założenia!T26</f>
        <v>0.54814588529368946</v>
      </c>
      <c r="U93" s="13"/>
    </row>
    <row r="94" spans="1:21" s="26" customFormat="1">
      <c r="A94" s="96"/>
      <c r="B94" s="112" t="s">
        <v>77</v>
      </c>
      <c r="C94" s="214" t="s">
        <v>136</v>
      </c>
      <c r="D94" s="214"/>
      <c r="E94" s="106">
        <f>(Założenia!D334+Założenia!D335+Założenia!D336+Założenia!D337+Założenia!D338)*Założenia!D350</f>
        <v>0</v>
      </c>
      <c r="F94" s="106">
        <f>(Założenia!E334+Założenia!E335+Założenia!E336+Założenia!E337+Założenia!E338)*Założenia!E350</f>
        <v>0</v>
      </c>
      <c r="G94" s="106">
        <f>(Założenia!F334+Założenia!F335+Założenia!F336+Założenia!F337+Założenia!F338)*Założenia!F350</f>
        <v>0</v>
      </c>
      <c r="H94" s="106">
        <f>(Założenia!G334+Założenia!G335+Założenia!G336+Założenia!G337+Założenia!G338)*Założenia!G350</f>
        <v>0</v>
      </c>
      <c r="I94" s="106">
        <f>(Założenia!H334+Założenia!H335+Założenia!H336+Założenia!H337+Założenia!H338)*Założenia!H350</f>
        <v>0</v>
      </c>
      <c r="J94" s="106">
        <f>(Założenia!I334+Założenia!I335+Założenia!I336+Założenia!I337+Założenia!I338)*Założenia!I350</f>
        <v>0</v>
      </c>
      <c r="K94" s="106">
        <f>(Założenia!J334+Założenia!J335+Założenia!J336+Założenia!J337+Założenia!J338)*Założenia!J350</f>
        <v>0</v>
      </c>
      <c r="L94" s="106">
        <f>(Założenia!K334+Założenia!K335+Założenia!K336+Założenia!K337+Założenia!K338)*Założenia!K350</f>
        <v>0</v>
      </c>
      <c r="M94" s="106">
        <f>(Założenia!L334+Założenia!L335+Założenia!L336+Założenia!L337+Założenia!L338)*Założenia!L350</f>
        <v>0</v>
      </c>
      <c r="N94" s="106">
        <f>(Założenia!M334+Założenia!M335+Założenia!M336+Założenia!M337+Założenia!M338)*Założenia!M350</f>
        <v>0</v>
      </c>
      <c r="O94" s="106">
        <f>(Założenia!N334+Założenia!N335+Założenia!N336+Założenia!N337+Założenia!N338)*Założenia!N350</f>
        <v>0</v>
      </c>
      <c r="P94" s="106">
        <f>(Założenia!O334+Założenia!O335+Założenia!O336+Założenia!O337+Założenia!O338)*Założenia!O350</f>
        <v>0</v>
      </c>
      <c r="Q94" s="106">
        <f>(Założenia!P334+Założenia!P335+Założenia!P336+Założenia!P337+Założenia!P338)*Założenia!P350</f>
        <v>0</v>
      </c>
      <c r="R94" s="106">
        <f>(Założenia!Q334+Założenia!Q335+Założenia!Q336+Założenia!Q337+Założenia!Q338)*Założenia!Q350</f>
        <v>0</v>
      </c>
      <c r="S94" s="106">
        <f>(Założenia!R334+Założenia!R335+Założenia!R336+Założenia!R337+Założenia!R338)*Założenia!R350</f>
        <v>0</v>
      </c>
      <c r="T94" s="106">
        <f>(Założenia!S334+Założenia!S335+Założenia!S336+Założenia!S337+Założenia!S338)*Założenia!S350</f>
        <v>0</v>
      </c>
      <c r="U94" s="13"/>
    </row>
    <row r="95" spans="1:21" s="26" customFormat="1">
      <c r="A95" s="96"/>
      <c r="B95" s="112" t="s">
        <v>163</v>
      </c>
      <c r="C95" s="214" t="s">
        <v>0</v>
      </c>
      <c r="D95" s="214"/>
      <c r="E95" s="106">
        <f>E93*E94</f>
        <v>0</v>
      </c>
      <c r="F95" s="106">
        <f t="shared" ref="F95:T95" si="19">F93*F94</f>
        <v>0</v>
      </c>
      <c r="G95" s="106">
        <f t="shared" si="19"/>
        <v>0</v>
      </c>
      <c r="H95" s="106">
        <f t="shared" si="19"/>
        <v>0</v>
      </c>
      <c r="I95" s="106">
        <f t="shared" si="19"/>
        <v>0</v>
      </c>
      <c r="J95" s="106">
        <f t="shared" si="19"/>
        <v>0</v>
      </c>
      <c r="K95" s="106">
        <f t="shared" si="19"/>
        <v>0</v>
      </c>
      <c r="L95" s="106">
        <f t="shared" si="19"/>
        <v>0</v>
      </c>
      <c r="M95" s="106">
        <f t="shared" si="19"/>
        <v>0</v>
      </c>
      <c r="N95" s="106">
        <f t="shared" si="19"/>
        <v>0</v>
      </c>
      <c r="O95" s="106">
        <f t="shared" si="19"/>
        <v>0</v>
      </c>
      <c r="P95" s="106">
        <f t="shared" si="19"/>
        <v>0</v>
      </c>
      <c r="Q95" s="106">
        <f t="shared" si="19"/>
        <v>0</v>
      </c>
      <c r="R95" s="106">
        <f t="shared" si="19"/>
        <v>0</v>
      </c>
      <c r="S95" s="106">
        <f t="shared" si="19"/>
        <v>0</v>
      </c>
      <c r="T95" s="106">
        <f t="shared" si="19"/>
        <v>0</v>
      </c>
      <c r="U95" s="13"/>
    </row>
    <row r="96" spans="1:21" s="26" customFormat="1">
      <c r="A96" s="96" t="s">
        <v>52</v>
      </c>
      <c r="B96" s="166" t="s">
        <v>434</v>
      </c>
      <c r="C96" s="214"/>
      <c r="D96" s="214"/>
      <c r="E96" s="172"/>
      <c r="F96" s="172"/>
      <c r="G96" s="172"/>
      <c r="H96" s="172"/>
      <c r="I96" s="172"/>
      <c r="J96" s="172"/>
      <c r="K96" s="172"/>
      <c r="L96" s="172"/>
      <c r="M96" s="172"/>
      <c r="N96" s="172"/>
      <c r="O96" s="172"/>
      <c r="P96" s="172"/>
      <c r="Q96" s="172"/>
      <c r="R96" s="172"/>
      <c r="S96" s="172"/>
      <c r="T96" s="172"/>
      <c r="U96" s="13"/>
    </row>
    <row r="97" spans="1:21" s="26" customFormat="1">
      <c r="A97" s="96"/>
      <c r="B97" s="112" t="s">
        <v>162</v>
      </c>
      <c r="C97" s="214" t="s">
        <v>146</v>
      </c>
      <c r="D97" s="214"/>
      <c r="E97" s="173">
        <f>E93*(1-Założenia!$E$29)</f>
        <v>0.33993266154041235</v>
      </c>
      <c r="F97" s="173">
        <f>F93*(1-Założenia!$E$29)</f>
        <v>0.35376374328162769</v>
      </c>
      <c r="G97" s="173">
        <f>G93*(1-Założenia!$E$29)</f>
        <v>0.36735024374483505</v>
      </c>
      <c r="H97" s="173">
        <f>H93*(1-Założenia!$E$29)</f>
        <v>0.37885739630238963</v>
      </c>
      <c r="I97" s="173">
        <f>I93*(1-Założenia!$E$29)</f>
        <v>0.39017237596989673</v>
      </c>
      <c r="J97" s="173">
        <f>J93*(1-Założenia!$E$29)</f>
        <v>0.40188341118651399</v>
      </c>
      <c r="K97" s="173">
        <f>K93*(1-Założenia!$E$29)</f>
        <v>0.4140062904385689</v>
      </c>
      <c r="L97" s="173">
        <f>L93*(1-Założenia!$E$29)</f>
        <v>0.42622527726533654</v>
      </c>
      <c r="M97" s="173">
        <f>M93*(1-Założenia!$E$29)</f>
        <v>0.4385268062925014</v>
      </c>
      <c r="N97" s="173">
        <f>N93*(1-Założenia!$E$29)</f>
        <v>0.45054369370014397</v>
      </c>
      <c r="O97" s="173">
        <f>O93*(1-Założenia!$E$29)</f>
        <v>0.46223038261267568</v>
      </c>
      <c r="P97" s="173">
        <f>P93*(1-Założenia!$E$29)</f>
        <v>0.4739224984963773</v>
      </c>
      <c r="Q97" s="173">
        <f>Q93*(1-Założenia!$E$29)</f>
        <v>0.48560044302261712</v>
      </c>
      <c r="R97" s="173">
        <f>R93*(1-Założenia!$E$29)</f>
        <v>0.49724319177232279</v>
      </c>
      <c r="S97" s="173">
        <f>S93*(1-Założenia!$E$29)</f>
        <v>0.50882805843907952</v>
      </c>
      <c r="T97" s="173">
        <f>T93*(1-Założenia!$E$29)</f>
        <v>0.52073859102900499</v>
      </c>
      <c r="U97" s="13"/>
    </row>
    <row r="98" spans="1:21" s="26" customFormat="1">
      <c r="A98" s="96"/>
      <c r="B98" s="112" t="s">
        <v>77</v>
      </c>
      <c r="C98" s="214" t="s">
        <v>136</v>
      </c>
      <c r="D98" s="214"/>
      <c r="E98" s="539">
        <f>Założenia!D339*Założenia!D350+Założenia!D331*Założenia!D349</f>
        <v>2198000</v>
      </c>
      <c r="F98" s="539">
        <f>Założenia!E339*Założenia!E350+Założenia!E331*Założenia!E349</f>
        <v>2199816.3772954927</v>
      </c>
      <c r="G98" s="539">
        <f>Założenia!F339*Założenia!F350+Założenia!F331*Założenia!F349</f>
        <v>2199816.3772954927</v>
      </c>
      <c r="H98" s="539">
        <f>Założenia!G339*Założenia!G350+Założenia!G331*Założenia!G349</f>
        <v>2199816.3772954927</v>
      </c>
      <c r="I98" s="539">
        <f>Założenia!H339*Założenia!H350+Założenia!H331*Założenia!H349</f>
        <v>2199816.3772954927</v>
      </c>
      <c r="J98" s="539">
        <f>Założenia!I339*Założenia!I350+Założenia!I331*Założenia!I349</f>
        <v>2199816.3772954927</v>
      </c>
      <c r="K98" s="539">
        <f>Założenia!J339*Założenia!J350+Założenia!J331*Założenia!J349</f>
        <v>2199816.3772954927</v>
      </c>
      <c r="L98" s="539">
        <f>Założenia!K339*Założenia!K350+Założenia!K331*Założenia!K349</f>
        <v>1549968.0801335559</v>
      </c>
      <c r="M98" s="539">
        <f>Założenia!L339*Założenia!L350+Założenia!L331*Założenia!L349</f>
        <v>1549968.0801335559</v>
      </c>
      <c r="N98" s="539">
        <f>Założenia!M339*Założenia!M350+Założenia!M331*Założenia!M349</f>
        <v>1549968.0801335559</v>
      </c>
      <c r="O98" s="539">
        <f>Założenia!N339*Założenia!N350+Założenia!N331*Założenia!N349</f>
        <v>1549968.0801335559</v>
      </c>
      <c r="P98" s="539">
        <f>Założenia!O339*Założenia!O350+Założenia!O331*Założenia!O349</f>
        <v>1549968.0801335559</v>
      </c>
      <c r="Q98" s="539">
        <f>Założenia!P339*Założenia!P350+Założenia!P331*Założenia!P349</f>
        <v>1549968.0801335559</v>
      </c>
      <c r="R98" s="539">
        <f>Założenia!Q339*Założenia!Q350+Założenia!Q331*Założenia!Q349</f>
        <v>1549968.0801335559</v>
      </c>
      <c r="S98" s="539">
        <f>Założenia!R339*Założenia!R350+Założenia!R331*Założenia!R349</f>
        <v>1549968.0801335559</v>
      </c>
      <c r="T98" s="539">
        <f>Założenia!S339*Założenia!S350+Założenia!S331*Założenia!S349</f>
        <v>1549968.0801335559</v>
      </c>
      <c r="U98" s="13"/>
    </row>
    <row r="99" spans="1:21" s="26" customFormat="1">
      <c r="A99" s="96"/>
      <c r="B99" s="112" t="s">
        <v>163</v>
      </c>
      <c r="C99" s="214" t="s">
        <v>0</v>
      </c>
      <c r="D99" s="214"/>
      <c r="E99" s="106">
        <f>E97*E98</f>
        <v>747171.99006582634</v>
      </c>
      <c r="F99" s="106">
        <f t="shared" ref="F99:T99" si="20">F97*F98</f>
        <v>778215.27616428293</v>
      </c>
      <c r="G99" s="106">
        <f t="shared" si="20"/>
        <v>808103.0823933793</v>
      </c>
      <c r="H99" s="106">
        <f t="shared" si="20"/>
        <v>833416.70504552557</v>
      </c>
      <c r="I99" s="106">
        <f t="shared" si="20"/>
        <v>858307.58262687316</v>
      </c>
      <c r="J99" s="106">
        <f t="shared" si="20"/>
        <v>884069.70969147212</v>
      </c>
      <c r="K99" s="106">
        <f t="shared" si="20"/>
        <v>910737.81801011821</v>
      </c>
      <c r="L99" s="106">
        <f t="shared" si="20"/>
        <v>660635.57470734627</v>
      </c>
      <c r="M99" s="106">
        <f t="shared" si="20"/>
        <v>679702.55203628819</v>
      </c>
      <c r="N99" s="106">
        <f t="shared" si="20"/>
        <v>698328.34394069307</v>
      </c>
      <c r="O99" s="106">
        <f t="shared" si="20"/>
        <v>716442.33871756797</v>
      </c>
      <c r="P99" s="106">
        <f t="shared" si="20"/>
        <v>734564.74512652797</v>
      </c>
      <c r="Q99" s="106">
        <f t="shared" si="20"/>
        <v>752665.18638377008</v>
      </c>
      <c r="R99" s="106">
        <f t="shared" si="20"/>
        <v>770711.07531082875</v>
      </c>
      <c r="S99" s="106">
        <f t="shared" si="20"/>
        <v>788667.24885690492</v>
      </c>
      <c r="T99" s="106">
        <f t="shared" si="20"/>
        <v>807128.1941886798</v>
      </c>
      <c r="U99" s="13"/>
    </row>
    <row r="100" spans="1:21" s="26" customFormat="1">
      <c r="A100" s="96" t="s">
        <v>58</v>
      </c>
      <c r="B100" s="166" t="s">
        <v>435</v>
      </c>
      <c r="C100" s="214"/>
      <c r="D100" s="214"/>
      <c r="E100" s="172"/>
      <c r="F100" s="172"/>
      <c r="G100" s="172"/>
      <c r="H100" s="172"/>
      <c r="I100" s="172"/>
      <c r="J100" s="172"/>
      <c r="K100" s="172"/>
      <c r="L100" s="172"/>
      <c r="M100" s="172"/>
      <c r="N100" s="172"/>
      <c r="O100" s="172"/>
      <c r="P100" s="172"/>
      <c r="Q100" s="172"/>
      <c r="R100" s="172"/>
      <c r="S100" s="172"/>
      <c r="T100" s="172"/>
      <c r="U100" s="13"/>
    </row>
    <row r="101" spans="1:21" s="26" customFormat="1">
      <c r="A101" s="96"/>
      <c r="B101" s="112" t="s">
        <v>162</v>
      </c>
      <c r="C101" s="214" t="s">
        <v>146</v>
      </c>
      <c r="D101" s="214"/>
      <c r="E101" s="173">
        <f>E97*(1-Założenia!$E$30)</f>
        <v>0.3059393953863711</v>
      </c>
      <c r="F101" s="173">
        <f>F97*(1-Założenia!$E$30)</f>
        <v>0.31838736895346492</v>
      </c>
      <c r="G101" s="173">
        <f>G97*(1-Założenia!$E$30)</f>
        <v>0.33061521937035154</v>
      </c>
      <c r="H101" s="173">
        <f>H97*(1-Założenia!$E$30)</f>
        <v>0.34097165667215068</v>
      </c>
      <c r="I101" s="173">
        <f>I97*(1-Założenia!$E$30)</f>
        <v>0.35115513837290707</v>
      </c>
      <c r="J101" s="173">
        <f>J97*(1-Założenia!$E$30)</f>
        <v>0.36169507006786261</v>
      </c>
      <c r="K101" s="173">
        <f>K97*(1-Założenia!$E$30)</f>
        <v>0.37260566139471202</v>
      </c>
      <c r="L101" s="173">
        <f>L97*(1-Założenia!$E$30)</f>
        <v>0.38360274953880291</v>
      </c>
      <c r="M101" s="173">
        <f>M97*(1-Założenia!$E$30)</f>
        <v>0.39467412566325127</v>
      </c>
      <c r="N101" s="173">
        <f>N97*(1-Założenia!$E$30)</f>
        <v>0.40548932433012957</v>
      </c>
      <c r="O101" s="173">
        <f>O97*(1-Założenia!$E$30)</f>
        <v>0.41600734435140813</v>
      </c>
      <c r="P101" s="173">
        <f>P97*(1-Założenia!$E$30)</f>
        <v>0.42653024864673955</v>
      </c>
      <c r="Q101" s="173">
        <f>Q97*(1-Założenia!$E$30)</f>
        <v>0.43704039872035544</v>
      </c>
      <c r="R101" s="173">
        <f>R97*(1-Założenia!$E$30)</f>
        <v>0.44751887259509054</v>
      </c>
      <c r="S101" s="173">
        <f>S97*(1-Założenia!$E$30)</f>
        <v>0.4579452525951716</v>
      </c>
      <c r="T101" s="173">
        <f>T97*(1-Założenia!$E$30)</f>
        <v>0.46866473192610453</v>
      </c>
      <c r="U101" s="13"/>
    </row>
    <row r="102" spans="1:21" s="26" customFormat="1">
      <c r="A102" s="96"/>
      <c r="B102" s="112" t="s">
        <v>77</v>
      </c>
      <c r="C102" s="214" t="s">
        <v>136</v>
      </c>
      <c r="D102" s="214"/>
      <c r="E102" s="106">
        <f>Założenia!D340*Założenia!D351</f>
        <v>0</v>
      </c>
      <c r="F102" s="106">
        <f>Założenia!E340*Założenia!E351</f>
        <v>0</v>
      </c>
      <c r="G102" s="106">
        <f>Założenia!F340*Założenia!F351</f>
        <v>0</v>
      </c>
      <c r="H102" s="106">
        <f>Założenia!G340*Założenia!G351</f>
        <v>0</v>
      </c>
      <c r="I102" s="106">
        <f>Założenia!H340*Założenia!H351</f>
        <v>0</v>
      </c>
      <c r="J102" s="106">
        <f>Założenia!I340*Założenia!I351</f>
        <v>0</v>
      </c>
      <c r="K102" s="106">
        <f>Założenia!J340*Założenia!J351</f>
        <v>0</v>
      </c>
      <c r="L102" s="106">
        <f>Założenia!K340*Założenia!K351</f>
        <v>0</v>
      </c>
      <c r="M102" s="106">
        <f>Założenia!L340*Założenia!L351</f>
        <v>0</v>
      </c>
      <c r="N102" s="106">
        <f>Założenia!M340*Założenia!M351</f>
        <v>0</v>
      </c>
      <c r="O102" s="106">
        <f>Założenia!N340*Założenia!N351</f>
        <v>0</v>
      </c>
      <c r="P102" s="106">
        <f>Założenia!O340*Założenia!O351</f>
        <v>0</v>
      </c>
      <c r="Q102" s="106">
        <f>Założenia!P340*Założenia!P351</f>
        <v>0</v>
      </c>
      <c r="R102" s="106">
        <f>Założenia!Q340*Założenia!Q351</f>
        <v>0</v>
      </c>
      <c r="S102" s="106">
        <f>Założenia!R340*Założenia!R351</f>
        <v>0</v>
      </c>
      <c r="T102" s="106">
        <f>Założenia!S340*Założenia!S351</f>
        <v>0</v>
      </c>
      <c r="U102" s="13"/>
    </row>
    <row r="103" spans="1:21" s="26" customFormat="1">
      <c r="A103" s="96"/>
      <c r="B103" s="112" t="s">
        <v>163</v>
      </c>
      <c r="C103" s="214" t="s">
        <v>0</v>
      </c>
      <c r="D103" s="214"/>
      <c r="E103" s="106">
        <f>E101*E102</f>
        <v>0</v>
      </c>
      <c r="F103" s="106">
        <f t="shared" ref="F103:T103" si="21">F101*F102</f>
        <v>0</v>
      </c>
      <c r="G103" s="106">
        <f t="shared" si="21"/>
        <v>0</v>
      </c>
      <c r="H103" s="106">
        <f t="shared" si="21"/>
        <v>0</v>
      </c>
      <c r="I103" s="106">
        <f t="shared" si="21"/>
        <v>0</v>
      </c>
      <c r="J103" s="106">
        <f t="shared" si="21"/>
        <v>0</v>
      </c>
      <c r="K103" s="106">
        <f t="shared" si="21"/>
        <v>0</v>
      </c>
      <c r="L103" s="106">
        <f t="shared" si="21"/>
        <v>0</v>
      </c>
      <c r="M103" s="106">
        <f t="shared" si="21"/>
        <v>0</v>
      </c>
      <c r="N103" s="106">
        <f t="shared" si="21"/>
        <v>0</v>
      </c>
      <c r="O103" s="106">
        <f t="shared" si="21"/>
        <v>0</v>
      </c>
      <c r="P103" s="106">
        <f t="shared" si="21"/>
        <v>0</v>
      </c>
      <c r="Q103" s="106">
        <f t="shared" si="21"/>
        <v>0</v>
      </c>
      <c r="R103" s="106">
        <f t="shared" si="21"/>
        <v>0</v>
      </c>
      <c r="S103" s="106">
        <f t="shared" si="21"/>
        <v>0</v>
      </c>
      <c r="T103" s="106">
        <f t="shared" si="21"/>
        <v>0</v>
      </c>
      <c r="U103" s="13"/>
    </row>
    <row r="104" spans="1:21" s="26" customFormat="1">
      <c r="A104" s="96" t="s">
        <v>206</v>
      </c>
      <c r="B104" s="166" t="s">
        <v>229</v>
      </c>
      <c r="C104" s="214"/>
      <c r="D104" s="214"/>
      <c r="E104" s="172"/>
      <c r="F104" s="172"/>
      <c r="G104" s="172"/>
      <c r="H104" s="172"/>
      <c r="I104" s="172"/>
      <c r="J104" s="172"/>
      <c r="K104" s="172"/>
      <c r="L104" s="172"/>
      <c r="M104" s="172"/>
      <c r="N104" s="172"/>
      <c r="O104" s="172"/>
      <c r="P104" s="172"/>
      <c r="Q104" s="172"/>
      <c r="R104" s="172"/>
      <c r="S104" s="172"/>
      <c r="T104" s="172"/>
      <c r="U104" s="13"/>
    </row>
    <row r="105" spans="1:21" s="26" customFormat="1">
      <c r="A105" s="96"/>
      <c r="B105" s="112" t="s">
        <v>162</v>
      </c>
      <c r="C105" s="214" t="s">
        <v>146</v>
      </c>
      <c r="D105" s="214"/>
      <c r="E105" s="173">
        <f>Założenia!E26*(1-Założenia!$E$28)</f>
        <v>7.1564770850613121E-2</v>
      </c>
      <c r="F105" s="173">
        <f>Założenia!F26*(1-Założenia!$E$28)</f>
        <v>7.4476577532974236E-2</v>
      </c>
      <c r="G105" s="173">
        <f>Założenia!G26*(1-Założenia!$E$28)</f>
        <v>7.7336893419965261E-2</v>
      </c>
      <c r="H105" s="173">
        <f>Założenia!H26*(1-Założenia!$E$28)</f>
        <v>7.9759451853134655E-2</v>
      </c>
      <c r="I105" s="173">
        <f>Założenia!I26*(1-Założenia!$E$28)</f>
        <v>8.2141552835767725E-2</v>
      </c>
      <c r="J105" s="173">
        <f>Założenia!J26*(1-Założenia!$E$28)</f>
        <v>8.4607033934002929E-2</v>
      </c>
      <c r="K105" s="173">
        <f>Założenia!K26*(1-Założenia!$E$28)</f>
        <v>8.7159219039698699E-2</v>
      </c>
      <c r="L105" s="173">
        <f>Założenia!L26*(1-Założenia!$E$28)</f>
        <v>8.9731637319018204E-2</v>
      </c>
      <c r="M105" s="173">
        <f>Założenia!M26*(1-Założenia!$E$28)</f>
        <v>9.2321432903684483E-2</v>
      </c>
      <c r="N105" s="173">
        <f>Założenia!N26*(1-Założenia!$E$28)</f>
        <v>9.4851303936872397E-2</v>
      </c>
      <c r="O105" s="173">
        <f>Założenia!O26*(1-Założenia!$E$28)</f>
        <v>9.7311659497405389E-2</v>
      </c>
      <c r="P105" s="173">
        <f>Założenia!P26*(1-Założenia!$E$28)</f>
        <v>9.9773157578184682E-2</v>
      </c>
      <c r="Q105" s="173">
        <f>Założenia!Q26*(1-Założenia!$E$28)</f>
        <v>0.1022316722152878</v>
      </c>
      <c r="R105" s="173">
        <f>Założenia!R26*(1-Założenia!$E$28)</f>
        <v>0.10468277721522583</v>
      </c>
      <c r="S105" s="173">
        <f>Założenia!S26*(1-Założenia!$E$28)</f>
        <v>0.10712169651349042</v>
      </c>
      <c r="T105" s="173">
        <f>Założenia!T26*(1-Założenia!$E$28)</f>
        <v>0.10962917705873787</v>
      </c>
      <c r="U105" s="13"/>
    </row>
    <row r="106" spans="1:21" s="26" customFormat="1">
      <c r="A106" s="96"/>
      <c r="B106" s="112" t="s">
        <v>77</v>
      </c>
      <c r="C106" s="214" t="s">
        <v>136</v>
      </c>
      <c r="D106" s="214"/>
      <c r="E106" s="106">
        <f>Założenia!D341*Założenia!D352</f>
        <v>0</v>
      </c>
      <c r="F106" s="106">
        <f>Założenia!E341*Założenia!E352</f>
        <v>0</v>
      </c>
      <c r="G106" s="106">
        <f>Założenia!F341*Założenia!F352</f>
        <v>0</v>
      </c>
      <c r="H106" s="106">
        <f>Założenia!G341*Założenia!G352</f>
        <v>0</v>
      </c>
      <c r="I106" s="106">
        <f>Założenia!H341*Założenia!H352</f>
        <v>0</v>
      </c>
      <c r="J106" s="106">
        <f>Założenia!I341*Założenia!I352</f>
        <v>0</v>
      </c>
      <c r="K106" s="106">
        <f>Założenia!J341*Założenia!J352</f>
        <v>0</v>
      </c>
      <c r="L106" s="106">
        <f>Założenia!K341*Założenia!K352</f>
        <v>650000</v>
      </c>
      <c r="M106" s="106">
        <f>Założenia!L341*Założenia!L352</f>
        <v>650000</v>
      </c>
      <c r="N106" s="106">
        <f>Założenia!M341*Założenia!M352</f>
        <v>650000</v>
      </c>
      <c r="O106" s="106">
        <f>Założenia!N341*Założenia!N352</f>
        <v>650000</v>
      </c>
      <c r="P106" s="106">
        <f>Założenia!O341*Założenia!O352</f>
        <v>650000</v>
      </c>
      <c r="Q106" s="106">
        <f>Założenia!P341*Założenia!P352</f>
        <v>650000</v>
      </c>
      <c r="R106" s="106">
        <f>Założenia!Q341*Założenia!Q352</f>
        <v>650000</v>
      </c>
      <c r="S106" s="106">
        <f>Założenia!R341*Założenia!R352</f>
        <v>650000</v>
      </c>
      <c r="T106" s="106">
        <f>Założenia!S341*Założenia!S352</f>
        <v>650000</v>
      </c>
      <c r="U106" s="13"/>
    </row>
    <row r="107" spans="1:21" s="26" customFormat="1">
      <c r="A107" s="96"/>
      <c r="B107" s="112" t="s">
        <v>163</v>
      </c>
      <c r="C107" s="214" t="s">
        <v>0</v>
      </c>
      <c r="D107" s="214"/>
      <c r="E107" s="106">
        <f>E105*E106</f>
        <v>0</v>
      </c>
      <c r="F107" s="106">
        <f t="shared" ref="F107:T107" si="22">F105*F106</f>
        <v>0</v>
      </c>
      <c r="G107" s="106">
        <f t="shared" si="22"/>
        <v>0</v>
      </c>
      <c r="H107" s="106">
        <f t="shared" si="22"/>
        <v>0</v>
      </c>
      <c r="I107" s="106">
        <f t="shared" si="22"/>
        <v>0</v>
      </c>
      <c r="J107" s="106">
        <f t="shared" si="22"/>
        <v>0</v>
      </c>
      <c r="K107" s="106">
        <f t="shared" si="22"/>
        <v>0</v>
      </c>
      <c r="L107" s="106">
        <f t="shared" si="22"/>
        <v>58325.564257361832</v>
      </c>
      <c r="M107" s="106">
        <f t="shared" si="22"/>
        <v>60008.931387394914</v>
      </c>
      <c r="N107" s="106">
        <f t="shared" si="22"/>
        <v>61653.347558967056</v>
      </c>
      <c r="O107" s="106">
        <f t="shared" si="22"/>
        <v>63252.578673313503</v>
      </c>
      <c r="P107" s="106">
        <f t="shared" si="22"/>
        <v>64852.552425820046</v>
      </c>
      <c r="Q107" s="106">
        <f t="shared" si="22"/>
        <v>66450.586939937071</v>
      </c>
      <c r="R107" s="106">
        <f t="shared" si="22"/>
        <v>68043.805189896782</v>
      </c>
      <c r="S107" s="106">
        <f t="shared" si="22"/>
        <v>69629.10273376877</v>
      </c>
      <c r="T107" s="106">
        <f t="shared" si="22"/>
        <v>71258.965088179611</v>
      </c>
      <c r="U107" s="13"/>
    </row>
    <row r="108" spans="1:21" s="42" customFormat="1">
      <c r="A108" s="114"/>
      <c r="B108" s="115"/>
      <c r="C108" s="151"/>
      <c r="D108" s="151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6"/>
    </row>
    <row r="109" spans="1:21" s="1" customFormat="1" ht="12">
      <c r="A109" s="269" t="s">
        <v>27</v>
      </c>
      <c r="B109" s="95" t="s">
        <v>227</v>
      </c>
    </row>
    <row r="110" spans="1:21">
      <c r="A110" s="96" t="s">
        <v>34</v>
      </c>
      <c r="B110" s="112" t="s">
        <v>82</v>
      </c>
      <c r="C110" s="214" t="s">
        <v>0</v>
      </c>
      <c r="D110" s="300">
        <f t="shared" ref="D110:D116" si="23">SUM(E110:T110)</f>
        <v>53350000</v>
      </c>
      <c r="E110" s="40">
        <f>E111+E112</f>
        <v>0</v>
      </c>
      <c r="F110" s="40">
        <f t="shared" ref="F110:T110" si="24">F111+F112</f>
        <v>0</v>
      </c>
      <c r="G110" s="40">
        <f t="shared" si="24"/>
        <v>0</v>
      </c>
      <c r="H110" s="40">
        <f t="shared" si="24"/>
        <v>0</v>
      </c>
      <c r="I110" s="40">
        <f t="shared" si="24"/>
        <v>0</v>
      </c>
      <c r="J110" s="40">
        <f t="shared" si="24"/>
        <v>0</v>
      </c>
      <c r="K110" s="40">
        <f t="shared" si="24"/>
        <v>44810000</v>
      </c>
      <c r="L110" s="40">
        <f t="shared" si="24"/>
        <v>0</v>
      </c>
      <c r="M110" s="40">
        <f t="shared" si="24"/>
        <v>0</v>
      </c>
      <c r="N110" s="40">
        <f t="shared" si="24"/>
        <v>0</v>
      </c>
      <c r="O110" s="40">
        <f t="shared" si="24"/>
        <v>0</v>
      </c>
      <c r="P110" s="40">
        <f t="shared" si="24"/>
        <v>0</v>
      </c>
      <c r="Q110" s="40">
        <f t="shared" si="24"/>
        <v>-11700000</v>
      </c>
      <c r="R110" s="40">
        <f t="shared" si="24"/>
        <v>0</v>
      </c>
      <c r="S110" s="40">
        <f t="shared" si="24"/>
        <v>20240000</v>
      </c>
      <c r="T110" s="40">
        <f t="shared" si="24"/>
        <v>0</v>
      </c>
      <c r="U110" s="1"/>
    </row>
    <row r="111" spans="1:21" s="45" customFormat="1" ht="12">
      <c r="A111" s="96"/>
      <c r="B111" s="112" t="s">
        <v>221</v>
      </c>
      <c r="C111" s="214" t="s">
        <v>0</v>
      </c>
      <c r="D111" s="300">
        <f t="shared" si="23"/>
        <v>51400000</v>
      </c>
      <c r="E111" s="233">
        <f>Opcje!E98-'Scenariusz bazowy'!E111</f>
        <v>0</v>
      </c>
      <c r="F111" s="233">
        <f>Opcje!F98-'Scenariusz bazowy'!F111</f>
        <v>0</v>
      </c>
      <c r="G111" s="233">
        <f>Opcje!G98-'Scenariusz bazowy'!G111</f>
        <v>0</v>
      </c>
      <c r="H111" s="233">
        <f>Opcje!H98-'Scenariusz bazowy'!H111</f>
        <v>0</v>
      </c>
      <c r="I111" s="233">
        <f>Opcje!I98-'Scenariusz bazowy'!I111</f>
        <v>0</v>
      </c>
      <c r="J111" s="233">
        <f>Opcje!J98-'Scenariusz bazowy'!J111</f>
        <v>0</v>
      </c>
      <c r="K111" s="233">
        <f>Opcje!K98-'Scenariusz bazowy'!K111</f>
        <v>42860000</v>
      </c>
      <c r="L111" s="233">
        <f>Opcje!L98-'Scenariusz bazowy'!L111</f>
        <v>0</v>
      </c>
      <c r="M111" s="233">
        <f>Opcje!M98-'Scenariusz bazowy'!M111</f>
        <v>0</v>
      </c>
      <c r="N111" s="233">
        <f>Opcje!N98-'Scenariusz bazowy'!N111</f>
        <v>0</v>
      </c>
      <c r="O111" s="233">
        <f>Opcje!O98-'Scenariusz bazowy'!O111</f>
        <v>0</v>
      </c>
      <c r="P111" s="233">
        <f>Opcje!P98-'Scenariusz bazowy'!P111</f>
        <v>0</v>
      </c>
      <c r="Q111" s="233">
        <f>Opcje!Q98-'Scenariusz bazowy'!Q111</f>
        <v>-11700000</v>
      </c>
      <c r="R111" s="233">
        <f>Opcje!R98-'Scenariusz bazowy'!R111</f>
        <v>0</v>
      </c>
      <c r="S111" s="233">
        <f>Opcje!S98-'Scenariusz bazowy'!S111</f>
        <v>20240000</v>
      </c>
      <c r="T111" s="233">
        <f>Opcje!T98-'Scenariusz bazowy'!T111</f>
        <v>0</v>
      </c>
      <c r="U111" s="1"/>
    </row>
    <row r="112" spans="1:21" s="27" customFormat="1" ht="12">
      <c r="A112" s="96"/>
      <c r="B112" s="112" t="s">
        <v>222</v>
      </c>
      <c r="C112" s="214" t="s">
        <v>0</v>
      </c>
      <c r="D112" s="300">
        <f t="shared" si="23"/>
        <v>1950000</v>
      </c>
      <c r="E112" s="233">
        <f>Opcje!E99-'Scenariusz bazowy'!E112</f>
        <v>0</v>
      </c>
      <c r="F112" s="233">
        <f>Opcje!F99-'Scenariusz bazowy'!F112</f>
        <v>0</v>
      </c>
      <c r="G112" s="233">
        <f>Opcje!G99-'Scenariusz bazowy'!G112</f>
        <v>0</v>
      </c>
      <c r="H112" s="233">
        <f>Opcje!H99-'Scenariusz bazowy'!H112</f>
        <v>0</v>
      </c>
      <c r="I112" s="233">
        <f>Opcje!I99-'Scenariusz bazowy'!I112</f>
        <v>0</v>
      </c>
      <c r="J112" s="233">
        <f>Opcje!J99-'Scenariusz bazowy'!J112</f>
        <v>0</v>
      </c>
      <c r="K112" s="233">
        <f>Opcje!K99-'Scenariusz bazowy'!K112</f>
        <v>1950000</v>
      </c>
      <c r="L112" s="233">
        <f>Opcje!L99-'Scenariusz bazowy'!L112</f>
        <v>0</v>
      </c>
      <c r="M112" s="233">
        <f>Opcje!M99-'Scenariusz bazowy'!M112</f>
        <v>0</v>
      </c>
      <c r="N112" s="233">
        <f>Opcje!N99-'Scenariusz bazowy'!N112</f>
        <v>0</v>
      </c>
      <c r="O112" s="233">
        <f>Opcje!O99-'Scenariusz bazowy'!O112</f>
        <v>0</v>
      </c>
      <c r="P112" s="233">
        <f>Opcje!P99-'Scenariusz bazowy'!P112</f>
        <v>0</v>
      </c>
      <c r="Q112" s="233">
        <f>Opcje!Q99-'Scenariusz bazowy'!Q112</f>
        <v>0</v>
      </c>
      <c r="R112" s="233">
        <f>Opcje!R99-'Scenariusz bazowy'!R112</f>
        <v>0</v>
      </c>
      <c r="S112" s="233">
        <f>Opcje!S99-'Scenariusz bazowy'!S112</f>
        <v>0</v>
      </c>
      <c r="T112" s="233">
        <f>Opcje!T99-'Scenariusz bazowy'!T112</f>
        <v>0</v>
      </c>
      <c r="U112" s="1"/>
    </row>
    <row r="113" spans="1:35" s="45" customFormat="1" ht="12">
      <c r="A113" s="96" t="s">
        <v>35</v>
      </c>
      <c r="B113" s="112" t="s">
        <v>223</v>
      </c>
      <c r="C113" s="214" t="s">
        <v>0</v>
      </c>
      <c r="D113" s="300">
        <f t="shared" si="23"/>
        <v>2158000</v>
      </c>
      <c r="E113" s="40">
        <f>E114+E116+E115</f>
        <v>0</v>
      </c>
      <c r="F113" s="40">
        <f t="shared" ref="F113:T113" si="25">F114+F116+F115</f>
        <v>0</v>
      </c>
      <c r="G113" s="40">
        <f t="shared" si="25"/>
        <v>0</v>
      </c>
      <c r="H113" s="40">
        <f t="shared" si="25"/>
        <v>0</v>
      </c>
      <c r="I113" s="40">
        <f t="shared" si="25"/>
        <v>0</v>
      </c>
      <c r="J113" s="40">
        <f t="shared" si="25"/>
        <v>0</v>
      </c>
      <c r="K113" s="40">
        <f t="shared" si="25"/>
        <v>0</v>
      </c>
      <c r="L113" s="40">
        <f t="shared" si="25"/>
        <v>0</v>
      </c>
      <c r="M113" s="40">
        <f t="shared" si="25"/>
        <v>0</v>
      </c>
      <c r="N113" s="40">
        <f t="shared" si="25"/>
        <v>0</v>
      </c>
      <c r="O113" s="40">
        <f t="shared" si="25"/>
        <v>0</v>
      </c>
      <c r="P113" s="40">
        <f t="shared" si="25"/>
        <v>0</v>
      </c>
      <c r="Q113" s="40">
        <f t="shared" si="25"/>
        <v>0</v>
      </c>
      <c r="R113" s="40">
        <f t="shared" si="25"/>
        <v>0</v>
      </c>
      <c r="S113" s="40">
        <f t="shared" si="25"/>
        <v>2158000</v>
      </c>
      <c r="T113" s="40">
        <f t="shared" si="25"/>
        <v>0</v>
      </c>
      <c r="U113" s="1"/>
    </row>
    <row r="114" spans="1:35">
      <c r="A114" s="96"/>
      <c r="B114" s="112" t="s">
        <v>221</v>
      </c>
      <c r="C114" s="214" t="s">
        <v>0</v>
      </c>
      <c r="D114" s="300">
        <f t="shared" si="23"/>
        <v>0</v>
      </c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233"/>
      <c r="S114" s="233"/>
      <c r="T114" s="233"/>
      <c r="U114" s="1"/>
    </row>
    <row r="115" spans="1:35">
      <c r="A115" s="96"/>
      <c r="B115" s="112" t="s">
        <v>244</v>
      </c>
      <c r="C115" s="214" t="s">
        <v>0</v>
      </c>
      <c r="D115" s="300">
        <f t="shared" si="23"/>
        <v>2158000</v>
      </c>
      <c r="E115" s="233">
        <f>Opcje!E100-'Scenariusz bazowy'!E116</f>
        <v>0</v>
      </c>
      <c r="F115" s="233">
        <f>Opcje!F100-'Scenariusz bazowy'!F116</f>
        <v>0</v>
      </c>
      <c r="G115" s="233">
        <f>Opcje!G100-'Scenariusz bazowy'!G116</f>
        <v>0</v>
      </c>
      <c r="H115" s="233">
        <f>Opcje!H100-'Scenariusz bazowy'!H116</f>
        <v>0</v>
      </c>
      <c r="I115" s="233">
        <f>Opcje!I100-'Scenariusz bazowy'!I116</f>
        <v>0</v>
      </c>
      <c r="J115" s="233">
        <f>Opcje!J100-'Scenariusz bazowy'!J116</f>
        <v>0</v>
      </c>
      <c r="K115" s="233">
        <f>Opcje!K100-'Scenariusz bazowy'!K116</f>
        <v>0</v>
      </c>
      <c r="L115" s="233">
        <f>Opcje!L100-'Scenariusz bazowy'!L116</f>
        <v>0</v>
      </c>
      <c r="M115" s="233">
        <f>Opcje!M100-'Scenariusz bazowy'!M116</f>
        <v>0</v>
      </c>
      <c r="N115" s="233">
        <f>Opcje!N100-'Scenariusz bazowy'!N116</f>
        <v>0</v>
      </c>
      <c r="O115" s="233">
        <f>Opcje!O100-'Scenariusz bazowy'!O116</f>
        <v>0</v>
      </c>
      <c r="P115" s="233">
        <f>Opcje!P100-'Scenariusz bazowy'!P116</f>
        <v>0</v>
      </c>
      <c r="Q115" s="233">
        <f>Opcje!Q100-'Scenariusz bazowy'!Q116</f>
        <v>0</v>
      </c>
      <c r="R115" s="233">
        <f>Opcje!R100-'Scenariusz bazowy'!R116</f>
        <v>0</v>
      </c>
      <c r="S115" s="233">
        <f>Opcje!S100-'Scenariusz bazowy'!S116</f>
        <v>2158000</v>
      </c>
      <c r="T115" s="233">
        <f>Opcje!T100-'Scenariusz bazowy'!T116</f>
        <v>0</v>
      </c>
      <c r="U115" s="1"/>
    </row>
    <row r="116" spans="1:35" s="45" customFormat="1" ht="12">
      <c r="A116" s="96"/>
      <c r="B116" s="112" t="s">
        <v>222</v>
      </c>
      <c r="C116" s="214" t="s">
        <v>0</v>
      </c>
      <c r="D116" s="300">
        <f t="shared" si="23"/>
        <v>0</v>
      </c>
      <c r="E116" s="233"/>
      <c r="F116" s="233"/>
      <c r="G116" s="233"/>
      <c r="H116" s="233"/>
      <c r="I116" s="233"/>
      <c r="J116" s="233"/>
      <c r="K116" s="233"/>
      <c r="L116" s="233"/>
      <c r="M116" s="233"/>
      <c r="N116" s="233"/>
      <c r="O116" s="233"/>
      <c r="P116" s="233"/>
      <c r="Q116" s="233"/>
      <c r="R116" s="233"/>
      <c r="S116" s="233"/>
      <c r="T116" s="233"/>
      <c r="U116" s="1"/>
    </row>
    <row r="117" spans="1:35">
      <c r="A117" s="1"/>
      <c r="B117" s="100"/>
      <c r="C117" s="84"/>
      <c r="D117" s="96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1"/>
    </row>
    <row r="118" spans="1:35" s="178" customFormat="1" ht="12">
      <c r="A118" s="114"/>
      <c r="B118" s="177"/>
      <c r="C118" s="200"/>
      <c r="D118" s="176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6"/>
    </row>
    <row r="119" spans="1:35" s="6" customFormat="1" ht="12">
      <c r="A119" s="96"/>
      <c r="B119" s="195"/>
      <c r="C119" s="323"/>
      <c r="D119" s="324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</row>
    <row r="120" spans="1:35" s="6" customFormat="1" ht="12">
      <c r="A120" s="96"/>
      <c r="B120" s="195"/>
      <c r="C120" s="323"/>
      <c r="D120" s="324"/>
      <c r="E120" s="325">
        <v>1</v>
      </c>
      <c r="F120" s="325">
        <f>E120+1</f>
        <v>2</v>
      </c>
      <c r="G120" s="325">
        <f t="shared" ref="G120:T121" si="26">F120+1</f>
        <v>3</v>
      </c>
      <c r="H120" s="325">
        <f t="shared" si="26"/>
        <v>4</v>
      </c>
      <c r="I120" s="325">
        <f t="shared" si="26"/>
        <v>5</v>
      </c>
      <c r="J120" s="325">
        <f t="shared" si="26"/>
        <v>6</v>
      </c>
      <c r="K120" s="325">
        <f t="shared" si="26"/>
        <v>7</v>
      </c>
      <c r="L120" s="325">
        <f t="shared" si="26"/>
        <v>8</v>
      </c>
      <c r="M120" s="325">
        <f t="shared" si="26"/>
        <v>9</v>
      </c>
      <c r="N120" s="325">
        <f t="shared" si="26"/>
        <v>10</v>
      </c>
      <c r="O120" s="325">
        <f t="shared" si="26"/>
        <v>11</v>
      </c>
      <c r="P120" s="325">
        <f t="shared" si="26"/>
        <v>12</v>
      </c>
      <c r="Q120" s="325">
        <f t="shared" si="26"/>
        <v>13</v>
      </c>
      <c r="R120" s="325">
        <f t="shared" si="26"/>
        <v>14</v>
      </c>
      <c r="S120" s="325">
        <f t="shared" si="26"/>
        <v>15</v>
      </c>
      <c r="T120" s="325">
        <f t="shared" si="26"/>
        <v>16</v>
      </c>
      <c r="U120" s="326"/>
      <c r="V120" s="231"/>
      <c r="W120" s="231"/>
      <c r="X120" s="231"/>
      <c r="Y120" s="231"/>
      <c r="Z120" s="231"/>
      <c r="AA120" s="231"/>
      <c r="AB120" s="231"/>
      <c r="AC120" s="231"/>
      <c r="AD120" s="231"/>
      <c r="AE120" s="231"/>
      <c r="AF120" s="231"/>
      <c r="AG120" s="231"/>
      <c r="AH120" s="231"/>
      <c r="AI120" s="196"/>
    </row>
    <row r="121" spans="1:35" s="6" customFormat="1">
      <c r="A121" s="269" t="s">
        <v>249</v>
      </c>
      <c r="B121" s="95" t="s">
        <v>389</v>
      </c>
      <c r="C121" s="323"/>
      <c r="D121" s="324"/>
      <c r="E121" s="298">
        <f>T5+1</f>
        <v>2037</v>
      </c>
      <c r="F121" s="298">
        <f>E121+1</f>
        <v>2038</v>
      </c>
      <c r="G121" s="298">
        <f t="shared" si="26"/>
        <v>2039</v>
      </c>
      <c r="H121" s="298">
        <f t="shared" si="26"/>
        <v>2040</v>
      </c>
      <c r="I121" s="298">
        <f t="shared" si="26"/>
        <v>2041</v>
      </c>
      <c r="J121" s="298">
        <f t="shared" si="26"/>
        <v>2042</v>
      </c>
      <c r="K121" s="298">
        <f t="shared" si="26"/>
        <v>2043</v>
      </c>
      <c r="L121" s="298">
        <f t="shared" si="26"/>
        <v>2044</v>
      </c>
      <c r="M121" s="298">
        <f t="shared" si="26"/>
        <v>2045</v>
      </c>
      <c r="N121" s="298">
        <f t="shared" si="26"/>
        <v>2046</v>
      </c>
      <c r="O121" s="298">
        <f t="shared" si="26"/>
        <v>2047</v>
      </c>
      <c r="P121" s="298">
        <f t="shared" si="26"/>
        <v>2048</v>
      </c>
      <c r="Q121" s="298">
        <f t="shared" si="26"/>
        <v>2049</v>
      </c>
      <c r="R121" s="298">
        <f t="shared" si="26"/>
        <v>2050</v>
      </c>
      <c r="S121" s="298">
        <f t="shared" si="26"/>
        <v>2051</v>
      </c>
      <c r="T121" s="298">
        <f t="shared" si="26"/>
        <v>2052</v>
      </c>
      <c r="U121" s="327"/>
      <c r="V121" s="232"/>
      <c r="W121" s="232"/>
      <c r="X121" s="232"/>
      <c r="Y121" s="232"/>
      <c r="Z121" s="232"/>
      <c r="AA121" s="232"/>
      <c r="AB121" s="232"/>
      <c r="AC121" s="232"/>
      <c r="AD121" s="232"/>
      <c r="AE121" s="232"/>
      <c r="AF121" s="232"/>
      <c r="AG121" s="232"/>
      <c r="AH121" s="232"/>
      <c r="AI121" s="184"/>
    </row>
    <row r="122" spans="1:35" s="6" customFormat="1" ht="12">
      <c r="A122" s="96" t="s">
        <v>34</v>
      </c>
      <c r="B122" s="113" t="s">
        <v>174</v>
      </c>
      <c r="C122" s="301" t="s">
        <v>151</v>
      </c>
      <c r="D122" s="328">
        <f>Założenia!$E$6</f>
        <v>2021</v>
      </c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1:35" s="6" customFormat="1" ht="12">
      <c r="A123" s="96" t="s">
        <v>35</v>
      </c>
      <c r="B123" s="113" t="s">
        <v>175</v>
      </c>
      <c r="C123" s="301" t="s">
        <v>151</v>
      </c>
      <c r="D123" s="328">
        <f>Założenia!$E$8</f>
        <v>2036</v>
      </c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1:35" s="6" customFormat="1" ht="12">
      <c r="A124" s="96" t="s">
        <v>30</v>
      </c>
      <c r="B124" s="113" t="s">
        <v>4</v>
      </c>
      <c r="C124" s="301" t="s">
        <v>28</v>
      </c>
      <c r="D124" s="300">
        <f>Założenia!$E$9</f>
        <v>15</v>
      </c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1:35" s="6" customFormat="1" ht="12">
      <c r="A125" s="96" t="s">
        <v>36</v>
      </c>
      <c r="B125" s="167" t="s">
        <v>177</v>
      </c>
      <c r="C125" s="301" t="s">
        <v>28</v>
      </c>
      <c r="D125" s="302">
        <f>D157</f>
        <v>12</v>
      </c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5" s="6" customFormat="1" ht="12">
      <c r="A126" s="96" t="s">
        <v>37</v>
      </c>
      <c r="B126" s="167" t="s">
        <v>178</v>
      </c>
      <c r="C126" s="301" t="s">
        <v>0</v>
      </c>
      <c r="D126" s="302"/>
      <c r="E126" s="23">
        <f>IF(E157&gt;0,(-$T$136-AVERAGE($E$140:$T$140)),0)</f>
        <v>582486.22816123441</v>
      </c>
      <c r="F126" s="23">
        <f t="shared" ref="F126:T126" si="27">IF(F157&gt;0,(-$T$136-AVERAGE($E$140:$T$140)),0)</f>
        <v>582486.22816123441</v>
      </c>
      <c r="G126" s="23">
        <f t="shared" si="27"/>
        <v>582486.22816123441</v>
      </c>
      <c r="H126" s="23">
        <f t="shared" si="27"/>
        <v>582486.22816123441</v>
      </c>
      <c r="I126" s="23">
        <f t="shared" si="27"/>
        <v>582486.22816123441</v>
      </c>
      <c r="J126" s="23">
        <f t="shared" si="27"/>
        <v>582486.22816123441</v>
      </c>
      <c r="K126" s="23">
        <f t="shared" si="27"/>
        <v>582486.22816123441</v>
      </c>
      <c r="L126" s="23">
        <f t="shared" si="27"/>
        <v>582486.22816123441</v>
      </c>
      <c r="M126" s="23">
        <f t="shared" si="27"/>
        <v>582486.22816123441</v>
      </c>
      <c r="N126" s="23">
        <f t="shared" si="27"/>
        <v>582486.22816123441</v>
      </c>
      <c r="O126" s="23">
        <f t="shared" si="27"/>
        <v>582486.22816123441</v>
      </c>
      <c r="P126" s="23">
        <f t="shared" si="27"/>
        <v>582486.22816123441</v>
      </c>
      <c r="Q126" s="23">
        <f t="shared" si="27"/>
        <v>0</v>
      </c>
      <c r="R126" s="23">
        <f t="shared" si="27"/>
        <v>0</v>
      </c>
      <c r="S126" s="23">
        <f t="shared" si="27"/>
        <v>0</v>
      </c>
      <c r="T126" s="23">
        <f t="shared" si="27"/>
        <v>0</v>
      </c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</row>
    <row r="127" spans="1:35" s="6" customFormat="1" ht="12">
      <c r="A127" s="96" t="s">
        <v>38</v>
      </c>
      <c r="B127" s="167" t="s">
        <v>179</v>
      </c>
      <c r="C127" s="301" t="s">
        <v>0</v>
      </c>
      <c r="D127" s="302"/>
      <c r="E127" s="23">
        <f>E126/(1+Założenia!$E$16)^E120</f>
        <v>560082.91169349465</v>
      </c>
      <c r="F127" s="23">
        <f>F126/(1+Założenia!$E$16)^F120</f>
        <v>538541.26124374475</v>
      </c>
      <c r="G127" s="23">
        <f>G126/(1+Założenia!$E$16)^G120</f>
        <v>517828.13581129309</v>
      </c>
      <c r="H127" s="23">
        <f>H126/(1+Założenia!$E$16)^H120</f>
        <v>497911.66904932022</v>
      </c>
      <c r="I127" s="23">
        <f>I126/(1+Założenia!$E$16)^I120</f>
        <v>478761.2202397309</v>
      </c>
      <c r="J127" s="23">
        <f>J126/(1+Założenia!$E$16)^J120</f>
        <v>460347.32715358742</v>
      </c>
      <c r="K127" s="23">
        <f>K126/(1+Założenia!$E$16)^K120</f>
        <v>442641.66072460334</v>
      </c>
      <c r="L127" s="23">
        <f>L126/(1+Założenia!$E$16)^L120</f>
        <v>425616.98146596464</v>
      </c>
      <c r="M127" s="23">
        <f>M126/(1+Założenia!$E$16)^M120</f>
        <v>409247.09756342752</v>
      </c>
      <c r="N127" s="23">
        <f>N126/(1+Założenia!$E$16)^N120</f>
        <v>393506.82458021876</v>
      </c>
      <c r="O127" s="23">
        <f>O126/(1+Założenia!$E$16)^O120</f>
        <v>378371.94671174884</v>
      </c>
      <c r="P127" s="23">
        <f>P126/(1+Założenia!$E$16)^P120</f>
        <v>363819.17953052768</v>
      </c>
      <c r="Q127" s="23">
        <f>Q126/(1+Założenia!$E$16)^Q120</f>
        <v>0</v>
      </c>
      <c r="R127" s="23">
        <f>R126/(1+Założenia!$E$16)^R120</f>
        <v>0</v>
      </c>
      <c r="S127" s="23">
        <f>S126/(1+Założenia!$E$16)^S120</f>
        <v>0</v>
      </c>
      <c r="T127" s="23">
        <f>T126/(1+Założenia!$E$16)^T120</f>
        <v>0</v>
      </c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</row>
    <row r="128" spans="1:35" s="6" customFormat="1" ht="12">
      <c r="A128" s="96" t="s">
        <v>39</v>
      </c>
      <c r="B128" s="167" t="s">
        <v>180</v>
      </c>
      <c r="C128" s="301" t="s">
        <v>0</v>
      </c>
      <c r="D128" s="302">
        <f>SUM(E127:AH127)</f>
        <v>5466676.215767662</v>
      </c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</row>
    <row r="129" spans="1:21" s="30" customFormat="1">
      <c r="A129" s="33"/>
      <c r="B129" s="329"/>
      <c r="C129" s="330"/>
      <c r="D129" s="330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33"/>
    </row>
    <row r="130" spans="1:21" s="30" customFormat="1">
      <c r="A130" s="33"/>
      <c r="B130" s="329"/>
      <c r="C130" s="330"/>
      <c r="D130" s="330"/>
      <c r="E130" s="103"/>
      <c r="F130" s="103"/>
      <c r="G130" s="103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33"/>
    </row>
    <row r="131" spans="1:21" s="1" customFormat="1" ht="12">
      <c r="A131" s="269" t="s">
        <v>250</v>
      </c>
      <c r="B131" s="95" t="s">
        <v>224</v>
      </c>
      <c r="E131" s="325">
        <v>0</v>
      </c>
      <c r="F131" s="325">
        <f>E131+1</f>
        <v>1</v>
      </c>
      <c r="G131" s="325">
        <f t="shared" ref="G131:T131" si="28">F131+1</f>
        <v>2</v>
      </c>
      <c r="H131" s="325">
        <f t="shared" si="28"/>
        <v>3</v>
      </c>
      <c r="I131" s="325">
        <f t="shared" si="28"/>
        <v>4</v>
      </c>
      <c r="J131" s="325">
        <f t="shared" si="28"/>
        <v>5</v>
      </c>
      <c r="K131" s="325">
        <f t="shared" si="28"/>
        <v>6</v>
      </c>
      <c r="L131" s="325">
        <f t="shared" si="28"/>
        <v>7</v>
      </c>
      <c r="M131" s="325">
        <f t="shared" si="28"/>
        <v>8</v>
      </c>
      <c r="N131" s="325">
        <f t="shared" si="28"/>
        <v>9</v>
      </c>
      <c r="O131" s="325">
        <f t="shared" si="28"/>
        <v>10</v>
      </c>
      <c r="P131" s="325">
        <f t="shared" si="28"/>
        <v>11</v>
      </c>
      <c r="Q131" s="325">
        <f t="shared" si="28"/>
        <v>12</v>
      </c>
      <c r="R131" s="325">
        <f t="shared" si="28"/>
        <v>13</v>
      </c>
      <c r="S131" s="325">
        <f t="shared" si="28"/>
        <v>14</v>
      </c>
      <c r="T131" s="325">
        <f t="shared" si="28"/>
        <v>15</v>
      </c>
    </row>
    <row r="132" spans="1:21" s="26" customFormat="1">
      <c r="A132" s="108" t="s">
        <v>34</v>
      </c>
      <c r="B132" s="118" t="s">
        <v>85</v>
      </c>
      <c r="C132" s="301" t="s">
        <v>0</v>
      </c>
      <c r="D132" s="301"/>
      <c r="E132" s="102">
        <f>E133+E134</f>
        <v>0</v>
      </c>
      <c r="F132" s="102">
        <f t="shared" ref="F132:T132" si="29">F133+F134</f>
        <v>0</v>
      </c>
      <c r="G132" s="102">
        <f t="shared" si="29"/>
        <v>0</v>
      </c>
      <c r="H132" s="102">
        <f t="shared" si="29"/>
        <v>0</v>
      </c>
      <c r="I132" s="102">
        <f t="shared" si="29"/>
        <v>0</v>
      </c>
      <c r="J132" s="102">
        <f t="shared" si="29"/>
        <v>0</v>
      </c>
      <c r="K132" s="102">
        <f t="shared" si="29"/>
        <v>0</v>
      </c>
      <c r="L132" s="102">
        <f t="shared" si="29"/>
        <v>0</v>
      </c>
      <c r="M132" s="102">
        <f t="shared" si="29"/>
        <v>0</v>
      </c>
      <c r="N132" s="102">
        <f t="shared" si="29"/>
        <v>0</v>
      </c>
      <c r="O132" s="102">
        <f t="shared" si="29"/>
        <v>0</v>
      </c>
      <c r="P132" s="102">
        <f t="shared" si="29"/>
        <v>0</v>
      </c>
      <c r="Q132" s="102">
        <f t="shared" si="29"/>
        <v>0</v>
      </c>
      <c r="R132" s="102">
        <f t="shared" si="29"/>
        <v>0</v>
      </c>
      <c r="S132" s="102">
        <f t="shared" si="29"/>
        <v>0</v>
      </c>
      <c r="T132" s="102">
        <f t="shared" si="29"/>
        <v>5466676.215767662</v>
      </c>
      <c r="U132" s="13"/>
    </row>
    <row r="133" spans="1:21" s="26" customFormat="1">
      <c r="A133" s="96" t="s">
        <v>43</v>
      </c>
      <c r="B133" s="111" t="s">
        <v>300</v>
      </c>
      <c r="C133" s="214" t="s">
        <v>0</v>
      </c>
      <c r="D133" s="301"/>
      <c r="E133" s="102">
        <f>E9-'Scenariusz bazowy'!E9</f>
        <v>0</v>
      </c>
      <c r="F133" s="102">
        <f>F9-'Scenariusz bazowy'!F9</f>
        <v>0</v>
      </c>
      <c r="G133" s="102">
        <f>G9-'Scenariusz bazowy'!G9</f>
        <v>0</v>
      </c>
      <c r="H133" s="102">
        <f>H9-'Scenariusz bazowy'!H9</f>
        <v>0</v>
      </c>
      <c r="I133" s="102">
        <f>I9-'Scenariusz bazowy'!I9</f>
        <v>0</v>
      </c>
      <c r="J133" s="102">
        <f>J9-'Scenariusz bazowy'!J9</f>
        <v>0</v>
      </c>
      <c r="K133" s="102">
        <f>K9-'Scenariusz bazowy'!K9</f>
        <v>0</v>
      </c>
      <c r="L133" s="102">
        <f>L9-'Scenariusz bazowy'!L9</f>
        <v>0</v>
      </c>
      <c r="M133" s="102">
        <f>M9-'Scenariusz bazowy'!M9</f>
        <v>0</v>
      </c>
      <c r="N133" s="102">
        <f>N9-'Scenariusz bazowy'!N9</f>
        <v>0</v>
      </c>
      <c r="O133" s="102">
        <f>O9-'Scenariusz bazowy'!O9</f>
        <v>0</v>
      </c>
      <c r="P133" s="102">
        <f>P9-'Scenariusz bazowy'!P9</f>
        <v>0</v>
      </c>
      <c r="Q133" s="102">
        <f>Q9-'Scenariusz bazowy'!Q9</f>
        <v>0</v>
      </c>
      <c r="R133" s="102">
        <f>R9-'Scenariusz bazowy'!R9</f>
        <v>0</v>
      </c>
      <c r="S133" s="102">
        <f>S9-'Scenariusz bazowy'!S9</f>
        <v>0</v>
      </c>
      <c r="T133" s="102">
        <f>T9-'Scenariusz bazowy'!T9</f>
        <v>0</v>
      </c>
      <c r="U133" s="13"/>
    </row>
    <row r="134" spans="1:21" s="1" customFormat="1" ht="12">
      <c r="A134" s="96" t="s">
        <v>44</v>
      </c>
      <c r="B134" s="111" t="s">
        <v>278</v>
      </c>
      <c r="C134" s="214" t="s">
        <v>0</v>
      </c>
      <c r="D134" s="214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>
        <f>IF(D128&gt;0,D128,0)</f>
        <v>5466676.215767662</v>
      </c>
    </row>
    <row r="135" spans="1:21" s="13" customFormat="1" ht="12">
      <c r="A135" s="108" t="s">
        <v>35</v>
      </c>
      <c r="B135" s="118" t="s">
        <v>86</v>
      </c>
      <c r="C135" s="301" t="s">
        <v>0</v>
      </c>
      <c r="D135" s="301"/>
      <c r="E135" s="22">
        <f>E136+E137+E140</f>
        <v>0</v>
      </c>
      <c r="F135" s="22">
        <f t="shared" ref="F135:T135" si="30">F136+F137+F140</f>
        <v>-539.30439878627658</v>
      </c>
      <c r="G135" s="22">
        <f t="shared" si="30"/>
        <v>-549.91124470904469</v>
      </c>
      <c r="H135" s="22">
        <f t="shared" si="30"/>
        <v>-560.51809063181281</v>
      </c>
      <c r="I135" s="22">
        <f t="shared" si="30"/>
        <v>-571.12493655830622</v>
      </c>
      <c r="J135" s="22">
        <f t="shared" si="30"/>
        <v>-581.73178248107433</v>
      </c>
      <c r="K135" s="22">
        <f t="shared" si="30"/>
        <v>44619721.69225426</v>
      </c>
      <c r="L135" s="22">
        <f t="shared" si="30"/>
        <v>-717991.11606313661</v>
      </c>
      <c r="M135" s="22">
        <f t="shared" si="30"/>
        <v>-731197.0174664259</v>
      </c>
      <c r="N135" s="22">
        <f t="shared" si="30"/>
        <v>-744402.91886971891</v>
      </c>
      <c r="O135" s="22">
        <f t="shared" si="30"/>
        <v>-757608.8202730082</v>
      </c>
      <c r="P135" s="22">
        <f t="shared" si="30"/>
        <v>-770814.72167629749</v>
      </c>
      <c r="Q135" s="22">
        <f t="shared" si="30"/>
        <v>-12484020.623079587</v>
      </c>
      <c r="R135" s="22">
        <f t="shared" si="30"/>
        <v>-415615.84723190218</v>
      </c>
      <c r="S135" s="22">
        <f t="shared" si="30"/>
        <v>21969178.251364809</v>
      </c>
      <c r="T135" s="22">
        <f t="shared" si="30"/>
        <v>-717361.22816123441</v>
      </c>
    </row>
    <row r="136" spans="1:21" s="1" customFormat="1" ht="12">
      <c r="A136" s="96" t="s">
        <v>49</v>
      </c>
      <c r="B136" s="111" t="s">
        <v>279</v>
      </c>
      <c r="C136" s="214" t="s">
        <v>0</v>
      </c>
      <c r="D136" s="214"/>
      <c r="E136" s="23">
        <f>E10-'Scenariusz bazowy'!E10</f>
        <v>0</v>
      </c>
      <c r="F136" s="23">
        <f>F10-'Scenariusz bazowy'!F10</f>
        <v>-539.30439878627658</v>
      </c>
      <c r="G136" s="23">
        <f>G10-'Scenariusz bazowy'!G10</f>
        <v>-549.91124470904469</v>
      </c>
      <c r="H136" s="23">
        <f>H10-'Scenariusz bazowy'!H10</f>
        <v>-560.51809063181281</v>
      </c>
      <c r="I136" s="23">
        <f>I10-'Scenariusz bazowy'!I10</f>
        <v>-571.12493655830622</v>
      </c>
      <c r="J136" s="23">
        <f>J10-'Scenariusz bazowy'!J10</f>
        <v>-581.73178248107433</v>
      </c>
      <c r="K136" s="23">
        <f>K10-'Scenariusz bazowy'!K10</f>
        <v>-190278.30774573609</v>
      </c>
      <c r="L136" s="23">
        <f>L10-'Scenariusz bazowy'!L10</f>
        <v>-717991.11606313661</v>
      </c>
      <c r="M136" s="23">
        <f>M10-'Scenariusz bazowy'!M10</f>
        <v>-731197.0174664259</v>
      </c>
      <c r="N136" s="23">
        <f>N10-'Scenariusz bazowy'!N10</f>
        <v>-744402.91886971891</v>
      </c>
      <c r="O136" s="23">
        <f>O10-'Scenariusz bazowy'!O10</f>
        <v>-757608.8202730082</v>
      </c>
      <c r="P136" s="23">
        <f>P10-'Scenariusz bazowy'!P10</f>
        <v>-770814.72167629749</v>
      </c>
      <c r="Q136" s="23">
        <f>Q10-'Scenariusz bazowy'!Q10</f>
        <v>-784020.62307958677</v>
      </c>
      <c r="R136" s="23">
        <f>R10-'Scenariusz bazowy'!R10</f>
        <v>-415615.84723190218</v>
      </c>
      <c r="S136" s="23">
        <f>S10-'Scenariusz bazowy'!S10</f>
        <v>-428821.74863519147</v>
      </c>
      <c r="T136" s="23">
        <f>T10-'Scenariusz bazowy'!T10</f>
        <v>-717361.22816123441</v>
      </c>
    </row>
    <row r="137" spans="1:21" s="1" customFormat="1" ht="12">
      <c r="A137" s="96" t="s">
        <v>50</v>
      </c>
      <c r="B137" s="111" t="s">
        <v>280</v>
      </c>
      <c r="C137" s="214" t="s">
        <v>0</v>
      </c>
      <c r="D137" s="214"/>
      <c r="E137" s="23">
        <f>E138+E139</f>
        <v>0</v>
      </c>
      <c r="F137" s="23">
        <f t="shared" ref="F137:T137" si="31">F138+F139</f>
        <v>0</v>
      </c>
      <c r="G137" s="23">
        <f t="shared" si="31"/>
        <v>0</v>
      </c>
      <c r="H137" s="23">
        <f t="shared" si="31"/>
        <v>0</v>
      </c>
      <c r="I137" s="23">
        <f t="shared" si="31"/>
        <v>0</v>
      </c>
      <c r="J137" s="23">
        <f t="shared" si="31"/>
        <v>0</v>
      </c>
      <c r="K137" s="23">
        <f t="shared" si="31"/>
        <v>44810000</v>
      </c>
      <c r="L137" s="23">
        <f t="shared" si="31"/>
        <v>0</v>
      </c>
      <c r="M137" s="23">
        <f t="shared" si="31"/>
        <v>0</v>
      </c>
      <c r="N137" s="23">
        <f t="shared" si="31"/>
        <v>0</v>
      </c>
      <c r="O137" s="23">
        <f t="shared" si="31"/>
        <v>0</v>
      </c>
      <c r="P137" s="23">
        <f t="shared" si="31"/>
        <v>0</v>
      </c>
      <c r="Q137" s="23">
        <f t="shared" si="31"/>
        <v>-11700000</v>
      </c>
      <c r="R137" s="23">
        <f t="shared" si="31"/>
        <v>0</v>
      </c>
      <c r="S137" s="23">
        <f t="shared" si="31"/>
        <v>20240000</v>
      </c>
      <c r="T137" s="23">
        <f t="shared" si="31"/>
        <v>0</v>
      </c>
    </row>
    <row r="138" spans="1:21" s="1" customFormat="1" ht="12">
      <c r="A138" s="96" t="s">
        <v>54</v>
      </c>
      <c r="B138" s="111" t="s">
        <v>281</v>
      </c>
      <c r="C138" s="214" t="s">
        <v>0</v>
      </c>
      <c r="D138" s="214"/>
      <c r="E138" s="23">
        <f t="shared" ref="E138:T138" si="32">E111</f>
        <v>0</v>
      </c>
      <c r="F138" s="23">
        <f t="shared" si="32"/>
        <v>0</v>
      </c>
      <c r="G138" s="23">
        <f t="shared" si="32"/>
        <v>0</v>
      </c>
      <c r="H138" s="23">
        <f t="shared" si="32"/>
        <v>0</v>
      </c>
      <c r="I138" s="23">
        <f t="shared" si="32"/>
        <v>0</v>
      </c>
      <c r="J138" s="23">
        <f t="shared" si="32"/>
        <v>0</v>
      </c>
      <c r="K138" s="23">
        <f t="shared" si="32"/>
        <v>42860000</v>
      </c>
      <c r="L138" s="23">
        <f t="shared" si="32"/>
        <v>0</v>
      </c>
      <c r="M138" s="23">
        <f t="shared" si="32"/>
        <v>0</v>
      </c>
      <c r="N138" s="23">
        <f t="shared" si="32"/>
        <v>0</v>
      </c>
      <c r="O138" s="23">
        <f t="shared" si="32"/>
        <v>0</v>
      </c>
      <c r="P138" s="23">
        <f t="shared" si="32"/>
        <v>0</v>
      </c>
      <c r="Q138" s="23">
        <f t="shared" si="32"/>
        <v>-11700000</v>
      </c>
      <c r="R138" s="23">
        <f t="shared" si="32"/>
        <v>0</v>
      </c>
      <c r="S138" s="23">
        <f t="shared" si="32"/>
        <v>20240000</v>
      </c>
      <c r="T138" s="23">
        <f t="shared" si="32"/>
        <v>0</v>
      </c>
    </row>
    <row r="139" spans="1:21" s="1" customFormat="1" ht="12">
      <c r="A139" s="96" t="s">
        <v>55</v>
      </c>
      <c r="B139" s="111" t="s">
        <v>282</v>
      </c>
      <c r="C139" s="214" t="s">
        <v>0</v>
      </c>
      <c r="D139" s="214"/>
      <c r="E139" s="23">
        <f t="shared" ref="E139:T139" si="33">E112</f>
        <v>0</v>
      </c>
      <c r="F139" s="23">
        <f t="shared" si="33"/>
        <v>0</v>
      </c>
      <c r="G139" s="23">
        <f t="shared" si="33"/>
        <v>0</v>
      </c>
      <c r="H139" s="23">
        <f t="shared" si="33"/>
        <v>0</v>
      </c>
      <c r="I139" s="23">
        <f t="shared" si="33"/>
        <v>0</v>
      </c>
      <c r="J139" s="23">
        <f t="shared" si="33"/>
        <v>0</v>
      </c>
      <c r="K139" s="23">
        <f t="shared" si="33"/>
        <v>1950000</v>
      </c>
      <c r="L139" s="23">
        <f t="shared" si="33"/>
        <v>0</v>
      </c>
      <c r="M139" s="23">
        <f t="shared" si="33"/>
        <v>0</v>
      </c>
      <c r="N139" s="23">
        <f t="shared" si="33"/>
        <v>0</v>
      </c>
      <c r="O139" s="23">
        <f t="shared" si="33"/>
        <v>0</v>
      </c>
      <c r="P139" s="23">
        <f t="shared" si="33"/>
        <v>0</v>
      </c>
      <c r="Q139" s="23">
        <f t="shared" si="33"/>
        <v>0</v>
      </c>
      <c r="R139" s="23">
        <f t="shared" si="33"/>
        <v>0</v>
      </c>
      <c r="S139" s="23">
        <f t="shared" si="33"/>
        <v>0</v>
      </c>
      <c r="T139" s="23">
        <f t="shared" si="33"/>
        <v>0</v>
      </c>
    </row>
    <row r="140" spans="1:21" s="1" customFormat="1" ht="12">
      <c r="A140" s="96" t="s">
        <v>61</v>
      </c>
      <c r="B140" s="111" t="s">
        <v>283</v>
      </c>
      <c r="C140" s="214" t="s">
        <v>0</v>
      </c>
      <c r="D140" s="214"/>
      <c r="E140" s="23">
        <f t="shared" ref="E140:T140" si="34">E113</f>
        <v>0</v>
      </c>
      <c r="F140" s="23">
        <f t="shared" si="34"/>
        <v>0</v>
      </c>
      <c r="G140" s="23">
        <f t="shared" si="34"/>
        <v>0</v>
      </c>
      <c r="H140" s="23">
        <f t="shared" si="34"/>
        <v>0</v>
      </c>
      <c r="I140" s="23">
        <f t="shared" si="34"/>
        <v>0</v>
      </c>
      <c r="J140" s="23">
        <f t="shared" si="34"/>
        <v>0</v>
      </c>
      <c r="K140" s="23">
        <f t="shared" si="34"/>
        <v>0</v>
      </c>
      <c r="L140" s="23">
        <f t="shared" si="34"/>
        <v>0</v>
      </c>
      <c r="M140" s="23">
        <f t="shared" si="34"/>
        <v>0</v>
      </c>
      <c r="N140" s="23">
        <f t="shared" si="34"/>
        <v>0</v>
      </c>
      <c r="O140" s="23">
        <f t="shared" si="34"/>
        <v>0</v>
      </c>
      <c r="P140" s="23">
        <f t="shared" si="34"/>
        <v>0</v>
      </c>
      <c r="Q140" s="23">
        <f t="shared" si="34"/>
        <v>0</v>
      </c>
      <c r="R140" s="23">
        <f t="shared" si="34"/>
        <v>0</v>
      </c>
      <c r="S140" s="23">
        <f t="shared" si="34"/>
        <v>2158000</v>
      </c>
      <c r="T140" s="23">
        <f t="shared" si="34"/>
        <v>0</v>
      </c>
    </row>
    <row r="141" spans="1:21" s="13" customFormat="1" ht="12">
      <c r="A141" s="108" t="s">
        <v>30</v>
      </c>
      <c r="B141" s="118" t="s">
        <v>87</v>
      </c>
      <c r="C141" s="301" t="s">
        <v>0</v>
      </c>
      <c r="D141" s="301"/>
      <c r="E141" s="22">
        <f t="shared" ref="E141:T141" si="35">E132-E135</f>
        <v>0</v>
      </c>
      <c r="F141" s="22">
        <f t="shared" si="35"/>
        <v>539.30439878627658</v>
      </c>
      <c r="G141" s="22">
        <f t="shared" si="35"/>
        <v>549.91124470904469</v>
      </c>
      <c r="H141" s="22">
        <f t="shared" si="35"/>
        <v>560.51809063181281</v>
      </c>
      <c r="I141" s="22">
        <f t="shared" si="35"/>
        <v>571.12493655830622</v>
      </c>
      <c r="J141" s="22">
        <f t="shared" si="35"/>
        <v>581.73178248107433</v>
      </c>
      <c r="K141" s="22">
        <f t="shared" si="35"/>
        <v>-44619721.69225426</v>
      </c>
      <c r="L141" s="22">
        <f t="shared" si="35"/>
        <v>717991.11606313661</v>
      </c>
      <c r="M141" s="22">
        <f t="shared" si="35"/>
        <v>731197.0174664259</v>
      </c>
      <c r="N141" s="22">
        <f t="shared" si="35"/>
        <v>744402.91886971891</v>
      </c>
      <c r="O141" s="22">
        <f t="shared" si="35"/>
        <v>757608.8202730082</v>
      </c>
      <c r="P141" s="22">
        <f t="shared" si="35"/>
        <v>770814.72167629749</v>
      </c>
      <c r="Q141" s="22">
        <f t="shared" si="35"/>
        <v>12484020.623079587</v>
      </c>
      <c r="R141" s="22">
        <f t="shared" si="35"/>
        <v>415615.84723190218</v>
      </c>
      <c r="S141" s="22">
        <f t="shared" si="35"/>
        <v>-21969178.251364809</v>
      </c>
      <c r="T141" s="22">
        <f t="shared" si="35"/>
        <v>6184037.4439288964</v>
      </c>
    </row>
    <row r="142" spans="1:21" s="1" customFormat="1" ht="12">
      <c r="A142" s="96" t="s">
        <v>31</v>
      </c>
      <c r="B142" s="111" t="s">
        <v>88</v>
      </c>
      <c r="C142" s="214" t="s">
        <v>90</v>
      </c>
      <c r="D142" s="214"/>
      <c r="E142" s="34">
        <v>1</v>
      </c>
      <c r="F142" s="34">
        <f t="shared" ref="F142:T142" si="36">(1/(1+F143)^F131)</f>
        <v>0.96153846153846145</v>
      </c>
      <c r="G142" s="34">
        <f t="shared" si="36"/>
        <v>0.92455621301775137</v>
      </c>
      <c r="H142" s="34">
        <f t="shared" si="36"/>
        <v>0.88899635867091487</v>
      </c>
      <c r="I142" s="34">
        <f t="shared" si="36"/>
        <v>0.85480419102972571</v>
      </c>
      <c r="J142" s="34">
        <f t="shared" si="36"/>
        <v>0.82192710675935154</v>
      </c>
      <c r="K142" s="34">
        <f t="shared" si="36"/>
        <v>0.79031452573014571</v>
      </c>
      <c r="L142" s="34">
        <f t="shared" si="36"/>
        <v>0.75991781320206331</v>
      </c>
      <c r="M142" s="34">
        <f t="shared" si="36"/>
        <v>0.73069020500198378</v>
      </c>
      <c r="N142" s="34">
        <f t="shared" si="36"/>
        <v>0.70258673557883045</v>
      </c>
      <c r="O142" s="34">
        <f t="shared" si="36"/>
        <v>0.67556416882579851</v>
      </c>
      <c r="P142" s="34">
        <f t="shared" si="36"/>
        <v>0.6495809315632679</v>
      </c>
      <c r="Q142" s="34">
        <f t="shared" si="36"/>
        <v>0.62459704958006512</v>
      </c>
      <c r="R142" s="34">
        <f t="shared" si="36"/>
        <v>0.600574086134678</v>
      </c>
      <c r="S142" s="34">
        <f t="shared" si="36"/>
        <v>0.57747508282180582</v>
      </c>
      <c r="T142" s="34">
        <f t="shared" si="36"/>
        <v>0.55526450271327477</v>
      </c>
    </row>
    <row r="143" spans="1:21" s="1" customFormat="1" ht="12">
      <c r="A143" s="96" t="s">
        <v>89</v>
      </c>
      <c r="B143" s="111" t="s">
        <v>5</v>
      </c>
      <c r="C143" s="214" t="s">
        <v>1</v>
      </c>
      <c r="D143" s="214"/>
      <c r="E143" s="35">
        <f>Założenia!E16</f>
        <v>0.04</v>
      </c>
      <c r="F143" s="35">
        <f>Założenia!F16</f>
        <v>0.04</v>
      </c>
      <c r="G143" s="35">
        <f>Założenia!G16</f>
        <v>0.04</v>
      </c>
      <c r="H143" s="35">
        <f>Założenia!H16</f>
        <v>0.04</v>
      </c>
      <c r="I143" s="35">
        <f>Założenia!I16</f>
        <v>0.04</v>
      </c>
      <c r="J143" s="35">
        <f>Założenia!J16</f>
        <v>0.04</v>
      </c>
      <c r="K143" s="35">
        <f>Założenia!G16</f>
        <v>0.04</v>
      </c>
      <c r="L143" s="35">
        <f>Założenia!L16</f>
        <v>0.04</v>
      </c>
      <c r="M143" s="35">
        <f>Założenia!M16</f>
        <v>0.04</v>
      </c>
      <c r="N143" s="35">
        <f>Założenia!N16</f>
        <v>0.04</v>
      </c>
      <c r="O143" s="35">
        <f>Założenia!O16</f>
        <v>0.04</v>
      </c>
      <c r="P143" s="35">
        <f>Założenia!P16</f>
        <v>0.04</v>
      </c>
      <c r="Q143" s="35">
        <f>Założenia!Q16</f>
        <v>0.04</v>
      </c>
      <c r="R143" s="35">
        <f>Założenia!R16</f>
        <v>0.04</v>
      </c>
      <c r="S143" s="35">
        <f>Założenia!S16</f>
        <v>0.04</v>
      </c>
      <c r="T143" s="35">
        <f>Założenia!T16</f>
        <v>0.04</v>
      </c>
    </row>
    <row r="144" spans="1:21" s="13" customFormat="1" ht="12">
      <c r="A144" s="108" t="s">
        <v>32</v>
      </c>
      <c r="B144" s="118" t="s">
        <v>179</v>
      </c>
      <c r="C144" s="301" t="s">
        <v>0</v>
      </c>
      <c r="D144" s="301"/>
      <c r="E144" s="116">
        <f>E141*E142</f>
        <v>0</v>
      </c>
      <c r="F144" s="116">
        <f t="shared" ref="F144:T144" si="37">F141*F142</f>
        <v>518.56192190988133</v>
      </c>
      <c r="G144" s="116">
        <f t="shared" si="37"/>
        <v>508.42385790407235</v>
      </c>
      <c r="H144" s="116">
        <f t="shared" si="37"/>
        <v>498.29854154085541</v>
      </c>
      <c r="I144" s="116">
        <f t="shared" si="37"/>
        <v>488.19998937162637</v>
      </c>
      <c r="J144" s="116">
        <f t="shared" si="37"/>
        <v>478.14112088462986</v>
      </c>
      <c r="K144" s="116">
        <f t="shared" si="37"/>
        <v>-35263614.187425017</v>
      </c>
      <c r="L144" s="116">
        <f t="shared" si="37"/>
        <v>545614.23881720763</v>
      </c>
      <c r="M144" s="116">
        <f t="shared" si="37"/>
        <v>534278.49858938181</v>
      </c>
      <c r="N144" s="116">
        <f t="shared" si="37"/>
        <v>523007.61672402878</v>
      </c>
      <c r="O144" s="116">
        <f t="shared" si="37"/>
        <v>511813.37296282855</v>
      </c>
      <c r="P144" s="116">
        <f t="shared" si="37"/>
        <v>500706.54496917041</v>
      </c>
      <c r="Q144" s="116">
        <f t="shared" si="37"/>
        <v>7797482.448072196</v>
      </c>
      <c r="R144" s="116">
        <f t="shared" si="37"/>
        <v>249608.1076343896</v>
      </c>
      <c r="S144" s="116">
        <f t="shared" si="37"/>
        <v>-12686653.030233908</v>
      </c>
      <c r="T144" s="116">
        <f t="shared" si="37"/>
        <v>3433776.4760634494</v>
      </c>
    </row>
    <row r="145" spans="1:35" s="32" customFormat="1" ht="12">
      <c r="A145" s="108" t="s">
        <v>36</v>
      </c>
      <c r="B145" s="117" t="s">
        <v>83</v>
      </c>
      <c r="C145" s="214" t="s">
        <v>0</v>
      </c>
      <c r="D145" s="214"/>
      <c r="E145" s="331">
        <f>SUM(E144:T144)</f>
        <v>-33851488.28839466</v>
      </c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3"/>
    </row>
    <row r="146" spans="1:35" s="32" customFormat="1" ht="12">
      <c r="A146" s="108" t="s">
        <v>37</v>
      </c>
      <c r="B146" s="117" t="s">
        <v>84</v>
      </c>
      <c r="C146" s="214" t="s">
        <v>1</v>
      </c>
      <c r="D146" s="214"/>
      <c r="E146" s="332" t="s">
        <v>403</v>
      </c>
      <c r="F146" s="19"/>
      <c r="G146" s="333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3"/>
    </row>
    <row r="147" spans="1:35" s="123" customFormat="1" ht="12">
      <c r="A147" s="46"/>
      <c r="B147" s="122"/>
      <c r="C147" s="200"/>
      <c r="D147" s="200"/>
      <c r="E147" s="334"/>
      <c r="F147" s="211"/>
      <c r="G147" s="333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64"/>
    </row>
    <row r="148" spans="1:35" s="6" customFormat="1" ht="12">
      <c r="A148" s="96"/>
      <c r="B148" s="195"/>
      <c r="C148" s="323"/>
      <c r="D148" s="324"/>
      <c r="E148" s="325">
        <v>1</v>
      </c>
      <c r="F148" s="325">
        <f>E148+1</f>
        <v>2</v>
      </c>
      <c r="G148" s="325">
        <f t="shared" ref="G148:U149" si="38">F148+1</f>
        <v>3</v>
      </c>
      <c r="H148" s="325">
        <f t="shared" si="38"/>
        <v>4</v>
      </c>
      <c r="I148" s="325">
        <f t="shared" si="38"/>
        <v>5</v>
      </c>
      <c r="J148" s="325">
        <f t="shared" si="38"/>
        <v>6</v>
      </c>
      <c r="K148" s="325">
        <f t="shared" si="38"/>
        <v>7</v>
      </c>
      <c r="L148" s="325">
        <f t="shared" si="38"/>
        <v>8</v>
      </c>
      <c r="M148" s="325">
        <f t="shared" si="38"/>
        <v>9</v>
      </c>
      <c r="N148" s="325">
        <f t="shared" si="38"/>
        <v>10</v>
      </c>
      <c r="O148" s="325">
        <f t="shared" si="38"/>
        <v>11</v>
      </c>
      <c r="P148" s="325">
        <f t="shared" si="38"/>
        <v>12</v>
      </c>
      <c r="Q148" s="325">
        <f t="shared" si="38"/>
        <v>13</v>
      </c>
      <c r="R148" s="325">
        <f t="shared" si="38"/>
        <v>14</v>
      </c>
      <c r="S148" s="325">
        <f t="shared" si="38"/>
        <v>15</v>
      </c>
      <c r="T148" s="325">
        <f t="shared" si="38"/>
        <v>16</v>
      </c>
      <c r="U148" s="325">
        <f t="shared" si="38"/>
        <v>17</v>
      </c>
      <c r="V148" s="234"/>
      <c r="W148" s="234"/>
      <c r="X148" s="234"/>
      <c r="Y148" s="234"/>
      <c r="Z148" s="234"/>
      <c r="AA148" s="234"/>
      <c r="AB148" s="234"/>
      <c r="AC148" s="234"/>
      <c r="AD148" s="234"/>
      <c r="AE148" s="234"/>
      <c r="AF148" s="234"/>
      <c r="AG148" s="234"/>
      <c r="AH148" s="234"/>
      <c r="AI148" s="234"/>
    </row>
    <row r="149" spans="1:35" s="6" customFormat="1">
      <c r="A149" s="269" t="s">
        <v>251</v>
      </c>
      <c r="B149" s="95" t="s">
        <v>388</v>
      </c>
      <c r="C149" s="323"/>
      <c r="D149" s="324"/>
      <c r="E149" s="298">
        <f>T5+1</f>
        <v>2037</v>
      </c>
      <c r="F149" s="298">
        <f>E149+1</f>
        <v>2038</v>
      </c>
      <c r="G149" s="298">
        <f t="shared" si="38"/>
        <v>2039</v>
      </c>
      <c r="H149" s="298">
        <f t="shared" si="38"/>
        <v>2040</v>
      </c>
      <c r="I149" s="298">
        <f t="shared" si="38"/>
        <v>2041</v>
      </c>
      <c r="J149" s="298">
        <f t="shared" si="38"/>
        <v>2042</v>
      </c>
      <c r="K149" s="298">
        <f t="shared" si="38"/>
        <v>2043</v>
      </c>
      <c r="L149" s="298">
        <f t="shared" si="38"/>
        <v>2044</v>
      </c>
      <c r="M149" s="298">
        <f t="shared" si="38"/>
        <v>2045</v>
      </c>
      <c r="N149" s="298">
        <f t="shared" si="38"/>
        <v>2046</v>
      </c>
      <c r="O149" s="298">
        <f t="shared" si="38"/>
        <v>2047</v>
      </c>
      <c r="P149" s="298">
        <f t="shared" si="38"/>
        <v>2048</v>
      </c>
      <c r="Q149" s="298">
        <f t="shared" si="38"/>
        <v>2049</v>
      </c>
      <c r="R149" s="298">
        <f t="shared" si="38"/>
        <v>2050</v>
      </c>
      <c r="S149" s="298">
        <f t="shared" si="38"/>
        <v>2051</v>
      </c>
      <c r="T149" s="298">
        <f t="shared" si="38"/>
        <v>2052</v>
      </c>
      <c r="U149" s="298">
        <f t="shared" si="38"/>
        <v>2053</v>
      </c>
      <c r="V149" s="235"/>
      <c r="W149" s="235"/>
      <c r="X149" s="235"/>
      <c r="Y149" s="235"/>
      <c r="Z149" s="235"/>
      <c r="AA149" s="235"/>
      <c r="AB149" s="235"/>
      <c r="AC149" s="235"/>
      <c r="AD149" s="235"/>
      <c r="AE149" s="235"/>
      <c r="AF149" s="235"/>
      <c r="AG149" s="235"/>
      <c r="AH149" s="235"/>
      <c r="AI149" s="235"/>
    </row>
    <row r="150" spans="1:35" s="6" customFormat="1" ht="12">
      <c r="A150" s="96" t="s">
        <v>34</v>
      </c>
      <c r="B150" s="113" t="s">
        <v>174</v>
      </c>
      <c r="C150" s="301" t="s">
        <v>151</v>
      </c>
      <c r="D150" s="328">
        <f>Założenia!$E$6</f>
        <v>2021</v>
      </c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</row>
    <row r="151" spans="1:35" s="6" customFormat="1" ht="12">
      <c r="A151" s="96" t="s">
        <v>35</v>
      </c>
      <c r="B151" s="113" t="s">
        <v>175</v>
      </c>
      <c r="C151" s="301" t="s">
        <v>151</v>
      </c>
      <c r="D151" s="328">
        <f>Założenia!$E$8</f>
        <v>2036</v>
      </c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</row>
    <row r="152" spans="1:35" s="6" customFormat="1" ht="12">
      <c r="A152" s="96" t="s">
        <v>30</v>
      </c>
      <c r="B152" s="113" t="s">
        <v>4</v>
      </c>
      <c r="C152" s="301" t="s">
        <v>28</v>
      </c>
      <c r="D152" s="300">
        <f>Założenia!$E$9</f>
        <v>15</v>
      </c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</row>
    <row r="153" spans="1:35" s="6" customFormat="1" ht="12">
      <c r="A153" s="96" t="s">
        <v>37</v>
      </c>
      <c r="B153" s="167" t="s">
        <v>177</v>
      </c>
      <c r="C153" s="301" t="s">
        <v>28</v>
      </c>
      <c r="D153" s="302">
        <f>D125</f>
        <v>12</v>
      </c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</row>
    <row r="154" spans="1:35" s="6" customFormat="1" ht="12">
      <c r="A154" s="96" t="s">
        <v>38</v>
      </c>
      <c r="B154" s="167" t="s">
        <v>182</v>
      </c>
      <c r="C154" s="301" t="s">
        <v>0</v>
      </c>
      <c r="D154" s="302"/>
      <c r="E154" s="23">
        <f>IF(E157&gt;0,($T$174-$T$171-AVERAGE($E$163:$T$163)),0)</f>
        <v>695806.464850744</v>
      </c>
      <c r="F154" s="23">
        <f t="shared" ref="F154:T154" si="39">IF(F157&gt;0,($T$174-$T$171-AVERAGE($E$163:$T$163)),0)</f>
        <v>695806.464850744</v>
      </c>
      <c r="G154" s="23">
        <f t="shared" si="39"/>
        <v>695806.464850744</v>
      </c>
      <c r="H154" s="23">
        <f t="shared" si="39"/>
        <v>695806.464850744</v>
      </c>
      <c r="I154" s="23">
        <f t="shared" si="39"/>
        <v>695806.464850744</v>
      </c>
      <c r="J154" s="23">
        <f t="shared" si="39"/>
        <v>695806.464850744</v>
      </c>
      <c r="K154" s="23">
        <f t="shared" si="39"/>
        <v>695806.464850744</v>
      </c>
      <c r="L154" s="23">
        <f t="shared" si="39"/>
        <v>695806.464850744</v>
      </c>
      <c r="M154" s="23">
        <f t="shared" si="39"/>
        <v>695806.464850744</v>
      </c>
      <c r="N154" s="23">
        <f t="shared" si="39"/>
        <v>695806.464850744</v>
      </c>
      <c r="O154" s="23">
        <f t="shared" si="39"/>
        <v>695806.464850744</v>
      </c>
      <c r="P154" s="23">
        <f t="shared" si="39"/>
        <v>695806.464850744</v>
      </c>
      <c r="Q154" s="23">
        <f t="shared" si="39"/>
        <v>0</v>
      </c>
      <c r="R154" s="23">
        <f t="shared" si="39"/>
        <v>0</v>
      </c>
      <c r="S154" s="23">
        <f t="shared" si="39"/>
        <v>0</v>
      </c>
      <c r="T154" s="23">
        <f t="shared" si="39"/>
        <v>0</v>
      </c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</row>
    <row r="155" spans="1:35" s="6" customFormat="1" ht="12">
      <c r="A155" s="96" t="s">
        <v>39</v>
      </c>
      <c r="B155" s="167" t="s">
        <v>181</v>
      </c>
      <c r="C155" s="301" t="s">
        <v>0</v>
      </c>
      <c r="D155" s="302"/>
      <c r="E155" s="23">
        <f>E154/(1+Założenia!$E$17)^E148</f>
        <v>665843.50703420478</v>
      </c>
      <c r="F155" s="23">
        <f>F154/(1+Założenia!$E$17)^F148</f>
        <v>637170.82012842572</v>
      </c>
      <c r="G155" s="23">
        <f>G154/(1+Założenia!$E$17)^G148</f>
        <v>609732.84222815861</v>
      </c>
      <c r="H155" s="23">
        <f>H154/(1+Założenia!$E$17)^H148</f>
        <v>583476.40404608496</v>
      </c>
      <c r="I155" s="23">
        <f>I154/(1+Założenia!$E$17)^I148</f>
        <v>558350.62588142103</v>
      </c>
      <c r="J155" s="23">
        <f>J154/(1+Założenia!$E$17)^J148</f>
        <v>534306.81902528333</v>
      </c>
      <c r="K155" s="23">
        <f>K154/(1+Założenia!$E$17)^K148</f>
        <v>511298.39141175442</v>
      </c>
      <c r="L155" s="23">
        <f>L154/(1+Założenia!$E$17)^L148</f>
        <v>489280.75733182253</v>
      </c>
      <c r="M155" s="23">
        <f>M154/(1+Założenia!$E$17)^M148</f>
        <v>468211.25103523693</v>
      </c>
      <c r="N155" s="23">
        <f>N154/(1+Założenia!$E$17)^N148</f>
        <v>448049.04405285837</v>
      </c>
      <c r="O155" s="23">
        <f>O154/(1+Założenia!$E$17)^O148</f>
        <v>428755.06607929029</v>
      </c>
      <c r="P155" s="23">
        <f>P154/(1+Założenia!$E$17)^P148</f>
        <v>410291.92926247884</v>
      </c>
      <c r="Q155" s="23">
        <f>Q154/(1+Założenia!$E$17)^Q148</f>
        <v>0</v>
      </c>
      <c r="R155" s="23">
        <f>R154/(1+Założenia!$E$17)^R148</f>
        <v>0</v>
      </c>
      <c r="S155" s="23">
        <f>S154/(1+Założenia!$E$17)^S148</f>
        <v>0</v>
      </c>
      <c r="T155" s="23">
        <f>T154/(1+Założenia!$E$17)^T148</f>
        <v>0</v>
      </c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4"/>
    </row>
    <row r="156" spans="1:35" s="6" customFormat="1" ht="12">
      <c r="A156" s="96" t="s">
        <v>40</v>
      </c>
      <c r="B156" s="167" t="s">
        <v>53</v>
      </c>
      <c r="C156" s="335" t="s">
        <v>0</v>
      </c>
      <c r="D156" s="336">
        <f>SUM(E155:AH155)</f>
        <v>6344767.4575170195</v>
      </c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</row>
    <row r="157" spans="1:35" s="123" customFormat="1" ht="12">
      <c r="A157" s="46"/>
      <c r="B157" s="122"/>
      <c r="C157" s="337"/>
      <c r="D157" s="338">
        <v>12</v>
      </c>
      <c r="E157" s="339">
        <f>D157</f>
        <v>12</v>
      </c>
      <c r="F157" s="339">
        <f>IF(E157-1&gt;0,E157-1,0)</f>
        <v>11</v>
      </c>
      <c r="G157" s="339">
        <f>IF(F157-1&gt;0,F157-1,0)</f>
        <v>10</v>
      </c>
      <c r="H157" s="339">
        <f t="shared" ref="H157:T157" si="40">IF(G157-1&gt;0,G157-1,0)</f>
        <v>9</v>
      </c>
      <c r="I157" s="339">
        <f t="shared" si="40"/>
        <v>8</v>
      </c>
      <c r="J157" s="339">
        <f t="shared" si="40"/>
        <v>7</v>
      </c>
      <c r="K157" s="339">
        <f t="shared" si="40"/>
        <v>6</v>
      </c>
      <c r="L157" s="339">
        <f t="shared" si="40"/>
        <v>5</v>
      </c>
      <c r="M157" s="339">
        <f t="shared" si="40"/>
        <v>4</v>
      </c>
      <c r="N157" s="339">
        <f t="shared" si="40"/>
        <v>3</v>
      </c>
      <c r="O157" s="339">
        <f t="shared" si="40"/>
        <v>2</v>
      </c>
      <c r="P157" s="339">
        <f t="shared" si="40"/>
        <v>1</v>
      </c>
      <c r="Q157" s="339">
        <f t="shared" si="40"/>
        <v>0</v>
      </c>
      <c r="R157" s="339">
        <f t="shared" si="40"/>
        <v>0</v>
      </c>
      <c r="S157" s="339">
        <f t="shared" si="40"/>
        <v>0</v>
      </c>
      <c r="T157" s="339">
        <f t="shared" si="40"/>
        <v>0</v>
      </c>
      <c r="U157" s="164"/>
    </row>
    <row r="158" spans="1:35" s="123" customFormat="1" ht="12">
      <c r="A158" s="46"/>
      <c r="B158" s="122"/>
      <c r="C158" s="200"/>
      <c r="D158" s="200"/>
      <c r="E158" s="334"/>
      <c r="F158" s="211"/>
      <c r="G158" s="333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64"/>
    </row>
    <row r="159" spans="1:35" s="1" customFormat="1" ht="12">
      <c r="A159" s="269" t="s">
        <v>252</v>
      </c>
      <c r="B159" s="95" t="s">
        <v>245</v>
      </c>
      <c r="E159" s="325">
        <v>0</v>
      </c>
      <c r="F159" s="325">
        <f>E159+1</f>
        <v>1</v>
      </c>
      <c r="G159" s="325">
        <f t="shared" ref="G159:T159" si="41">F159+1</f>
        <v>2</v>
      </c>
      <c r="H159" s="325">
        <f t="shared" si="41"/>
        <v>3</v>
      </c>
      <c r="I159" s="325">
        <f t="shared" si="41"/>
        <v>4</v>
      </c>
      <c r="J159" s="325">
        <f t="shared" si="41"/>
        <v>5</v>
      </c>
      <c r="K159" s="325">
        <f t="shared" si="41"/>
        <v>6</v>
      </c>
      <c r="L159" s="325">
        <f t="shared" si="41"/>
        <v>7</v>
      </c>
      <c r="M159" s="325">
        <f t="shared" si="41"/>
        <v>8</v>
      </c>
      <c r="N159" s="325">
        <f t="shared" si="41"/>
        <v>9</v>
      </c>
      <c r="O159" s="325">
        <f t="shared" si="41"/>
        <v>10</v>
      </c>
      <c r="P159" s="325">
        <f t="shared" si="41"/>
        <v>11</v>
      </c>
      <c r="Q159" s="325">
        <f t="shared" si="41"/>
        <v>12</v>
      </c>
      <c r="R159" s="325">
        <f t="shared" si="41"/>
        <v>13</v>
      </c>
      <c r="S159" s="325">
        <f t="shared" si="41"/>
        <v>14</v>
      </c>
      <c r="T159" s="325">
        <f t="shared" si="41"/>
        <v>15</v>
      </c>
    </row>
    <row r="160" spans="1:35" s="26" customFormat="1">
      <c r="A160" s="108" t="s">
        <v>34</v>
      </c>
      <c r="B160" s="118" t="s">
        <v>92</v>
      </c>
      <c r="C160" s="301" t="s">
        <v>0</v>
      </c>
      <c r="D160" s="301"/>
      <c r="E160" s="102">
        <f>E161+E162+E163+E164</f>
        <v>0</v>
      </c>
      <c r="F160" s="102">
        <f t="shared" ref="F160:T160" si="42">F161+F162+F163+F164</f>
        <v>-539.30439878627658</v>
      </c>
      <c r="G160" s="102">
        <f t="shared" si="42"/>
        <v>-549.91124470904469</v>
      </c>
      <c r="H160" s="102">
        <f t="shared" si="42"/>
        <v>-560.51809063181281</v>
      </c>
      <c r="I160" s="102">
        <f t="shared" si="42"/>
        <v>-571.12493655830622</v>
      </c>
      <c r="J160" s="102">
        <f t="shared" si="42"/>
        <v>-581.73178248107433</v>
      </c>
      <c r="K160" s="102">
        <f t="shared" si="42"/>
        <v>44619721.69225426</v>
      </c>
      <c r="L160" s="102">
        <f t="shared" si="42"/>
        <v>-717991.11606313661</v>
      </c>
      <c r="M160" s="102">
        <f t="shared" si="42"/>
        <v>-731197.0174664259</v>
      </c>
      <c r="N160" s="102">
        <f t="shared" si="42"/>
        <v>-744402.91886971891</v>
      </c>
      <c r="O160" s="102">
        <f t="shared" si="42"/>
        <v>-757608.8202730082</v>
      </c>
      <c r="P160" s="102">
        <f t="shared" si="42"/>
        <v>-770814.72167629749</v>
      </c>
      <c r="Q160" s="102">
        <f t="shared" si="42"/>
        <v>-12484020.623079587</v>
      </c>
      <c r="R160" s="102">
        <f t="shared" si="42"/>
        <v>-415615.84723190218</v>
      </c>
      <c r="S160" s="102">
        <f t="shared" si="42"/>
        <v>21969178.251364809</v>
      </c>
      <c r="T160" s="102">
        <f t="shared" si="42"/>
        <v>5627406.2293557851</v>
      </c>
      <c r="U160" s="13"/>
    </row>
    <row r="161" spans="1:20" s="1" customFormat="1" ht="12">
      <c r="A161" s="96" t="s">
        <v>43</v>
      </c>
      <c r="B161" s="111" t="s">
        <v>33</v>
      </c>
      <c r="C161" s="214" t="s">
        <v>0</v>
      </c>
      <c r="D161" s="214"/>
      <c r="E161" s="23">
        <f t="shared" ref="E161:T161" si="43">E110</f>
        <v>0</v>
      </c>
      <c r="F161" s="23">
        <f t="shared" si="43"/>
        <v>0</v>
      </c>
      <c r="G161" s="23">
        <f t="shared" si="43"/>
        <v>0</v>
      </c>
      <c r="H161" s="23">
        <f t="shared" si="43"/>
        <v>0</v>
      </c>
      <c r="I161" s="23">
        <f t="shared" si="43"/>
        <v>0</v>
      </c>
      <c r="J161" s="23">
        <f t="shared" si="43"/>
        <v>0</v>
      </c>
      <c r="K161" s="23">
        <f t="shared" si="43"/>
        <v>44810000</v>
      </c>
      <c r="L161" s="23">
        <f t="shared" si="43"/>
        <v>0</v>
      </c>
      <c r="M161" s="23">
        <f t="shared" si="43"/>
        <v>0</v>
      </c>
      <c r="N161" s="23">
        <f t="shared" si="43"/>
        <v>0</v>
      </c>
      <c r="O161" s="23">
        <f t="shared" si="43"/>
        <v>0</v>
      </c>
      <c r="P161" s="23">
        <f t="shared" si="43"/>
        <v>0</v>
      </c>
      <c r="Q161" s="23">
        <f t="shared" si="43"/>
        <v>-11700000</v>
      </c>
      <c r="R161" s="23">
        <f t="shared" si="43"/>
        <v>0</v>
      </c>
      <c r="S161" s="23">
        <f t="shared" si="43"/>
        <v>20240000</v>
      </c>
      <c r="T161" s="23">
        <f t="shared" si="43"/>
        <v>0</v>
      </c>
    </row>
    <row r="162" spans="1:20" s="1" customFormat="1" ht="12">
      <c r="A162" s="96" t="s">
        <v>44</v>
      </c>
      <c r="B162" s="111" t="s">
        <v>93</v>
      </c>
      <c r="C162" s="214" t="s">
        <v>0</v>
      </c>
      <c r="D162" s="214"/>
      <c r="E162" s="23">
        <f t="shared" ref="E162:T162" si="44">E136</f>
        <v>0</v>
      </c>
      <c r="F162" s="23">
        <f t="shared" si="44"/>
        <v>-539.30439878627658</v>
      </c>
      <c r="G162" s="23">
        <f t="shared" si="44"/>
        <v>-549.91124470904469</v>
      </c>
      <c r="H162" s="23">
        <f t="shared" si="44"/>
        <v>-560.51809063181281</v>
      </c>
      <c r="I162" s="23">
        <f t="shared" si="44"/>
        <v>-571.12493655830622</v>
      </c>
      <c r="J162" s="23">
        <f t="shared" si="44"/>
        <v>-581.73178248107433</v>
      </c>
      <c r="K162" s="23">
        <f t="shared" si="44"/>
        <v>-190278.30774573609</v>
      </c>
      <c r="L162" s="23">
        <f t="shared" si="44"/>
        <v>-717991.11606313661</v>
      </c>
      <c r="M162" s="23">
        <f t="shared" si="44"/>
        <v>-731197.0174664259</v>
      </c>
      <c r="N162" s="23">
        <f t="shared" si="44"/>
        <v>-744402.91886971891</v>
      </c>
      <c r="O162" s="23">
        <f t="shared" si="44"/>
        <v>-757608.8202730082</v>
      </c>
      <c r="P162" s="23">
        <f t="shared" si="44"/>
        <v>-770814.72167629749</v>
      </c>
      <c r="Q162" s="23">
        <f t="shared" si="44"/>
        <v>-784020.62307958677</v>
      </c>
      <c r="R162" s="23">
        <f t="shared" si="44"/>
        <v>-415615.84723190218</v>
      </c>
      <c r="S162" s="23">
        <f t="shared" si="44"/>
        <v>-428821.74863519147</v>
      </c>
      <c r="T162" s="23">
        <f t="shared" si="44"/>
        <v>-717361.22816123441</v>
      </c>
    </row>
    <row r="163" spans="1:20" s="1" customFormat="1" ht="12">
      <c r="A163" s="96" t="s">
        <v>45</v>
      </c>
      <c r="B163" s="111" t="s">
        <v>60</v>
      </c>
      <c r="C163" s="214" t="s">
        <v>0</v>
      </c>
      <c r="D163" s="214"/>
      <c r="E163" s="23">
        <f t="shared" ref="E163:T163" si="45">E113</f>
        <v>0</v>
      </c>
      <c r="F163" s="23">
        <f t="shared" si="45"/>
        <v>0</v>
      </c>
      <c r="G163" s="23">
        <f t="shared" si="45"/>
        <v>0</v>
      </c>
      <c r="H163" s="23">
        <f t="shared" si="45"/>
        <v>0</v>
      </c>
      <c r="I163" s="23">
        <f t="shared" si="45"/>
        <v>0</v>
      </c>
      <c r="J163" s="23">
        <f t="shared" si="45"/>
        <v>0</v>
      </c>
      <c r="K163" s="23">
        <f t="shared" si="45"/>
        <v>0</v>
      </c>
      <c r="L163" s="23">
        <f t="shared" si="45"/>
        <v>0</v>
      </c>
      <c r="M163" s="23">
        <f t="shared" si="45"/>
        <v>0</v>
      </c>
      <c r="N163" s="23">
        <f t="shared" si="45"/>
        <v>0</v>
      </c>
      <c r="O163" s="23">
        <f t="shared" si="45"/>
        <v>0</v>
      </c>
      <c r="P163" s="23">
        <f t="shared" si="45"/>
        <v>0</v>
      </c>
      <c r="Q163" s="23">
        <f t="shared" si="45"/>
        <v>0</v>
      </c>
      <c r="R163" s="23">
        <f t="shared" si="45"/>
        <v>0</v>
      </c>
      <c r="S163" s="23">
        <f t="shared" si="45"/>
        <v>2158000</v>
      </c>
      <c r="T163" s="23">
        <f t="shared" si="45"/>
        <v>0</v>
      </c>
    </row>
    <row r="164" spans="1:20" s="1" customFormat="1" ht="12">
      <c r="A164" s="96" t="s">
        <v>76</v>
      </c>
      <c r="B164" s="111" t="s">
        <v>94</v>
      </c>
      <c r="C164" s="214" t="s">
        <v>0</v>
      </c>
      <c r="D164" s="214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>
        <f>IF(D156&gt;0,D156,0)</f>
        <v>6344767.4575170195</v>
      </c>
    </row>
    <row r="165" spans="1:20" s="13" customFormat="1" ht="12">
      <c r="A165" s="108" t="s">
        <v>35</v>
      </c>
      <c r="B165" s="118" t="s">
        <v>95</v>
      </c>
      <c r="C165" s="301"/>
      <c r="D165" s="301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</row>
    <row r="166" spans="1:20" s="1" customFormat="1" ht="12">
      <c r="A166" s="96" t="s">
        <v>49</v>
      </c>
      <c r="B166" s="111" t="s">
        <v>195</v>
      </c>
      <c r="C166" s="214" t="s">
        <v>90</v>
      </c>
      <c r="D166" s="214"/>
      <c r="E166" s="39">
        <f>Założenia!$E$33</f>
        <v>0.83</v>
      </c>
      <c r="F166" s="39">
        <f>Założenia!$E$33</f>
        <v>0.83</v>
      </c>
      <c r="G166" s="39">
        <f>Założenia!$E$33</f>
        <v>0.83</v>
      </c>
      <c r="H166" s="39">
        <f>Założenia!$E$33</f>
        <v>0.83</v>
      </c>
      <c r="I166" s="39">
        <f>Założenia!$E$33</f>
        <v>0.83</v>
      </c>
      <c r="J166" s="39">
        <f>Założenia!$E$33</f>
        <v>0.83</v>
      </c>
      <c r="K166" s="39">
        <f>Założenia!$E$33</f>
        <v>0.83</v>
      </c>
      <c r="L166" s="39">
        <f>Założenia!$E$33</f>
        <v>0.83</v>
      </c>
      <c r="M166" s="39">
        <f>Założenia!$E$33</f>
        <v>0.83</v>
      </c>
      <c r="N166" s="39">
        <f>Założenia!$E$33</f>
        <v>0.83</v>
      </c>
      <c r="O166" s="39">
        <f>Założenia!$E$33</f>
        <v>0.83</v>
      </c>
      <c r="P166" s="39">
        <f>Założenia!$E$33</f>
        <v>0.83</v>
      </c>
      <c r="Q166" s="39">
        <f>Założenia!$E$33</f>
        <v>0.83</v>
      </c>
      <c r="R166" s="39">
        <f>Założenia!$E$33</f>
        <v>0.83</v>
      </c>
      <c r="S166" s="39">
        <f>Założenia!$E$33</f>
        <v>0.83</v>
      </c>
      <c r="T166" s="39">
        <f>Założenia!$E$33</f>
        <v>0.83</v>
      </c>
    </row>
    <row r="167" spans="1:20" s="1" customFormat="1" ht="12">
      <c r="A167" s="96" t="s">
        <v>50</v>
      </c>
      <c r="B167" s="111" t="s">
        <v>196</v>
      </c>
      <c r="C167" s="214"/>
      <c r="D167" s="214"/>
      <c r="E167" s="39">
        <f>Założenia!$E$34</f>
        <v>0.87</v>
      </c>
      <c r="F167" s="39">
        <f>Założenia!$E$34</f>
        <v>0.87</v>
      </c>
      <c r="G167" s="39">
        <f>Założenia!$E$34</f>
        <v>0.87</v>
      </c>
      <c r="H167" s="39">
        <f>Założenia!$E$34</f>
        <v>0.87</v>
      </c>
      <c r="I167" s="39">
        <f>Założenia!$E$34</f>
        <v>0.87</v>
      </c>
      <c r="J167" s="39">
        <f>Założenia!$E$34</f>
        <v>0.87</v>
      </c>
      <c r="K167" s="39">
        <f>Założenia!$E$34</f>
        <v>0.87</v>
      </c>
      <c r="L167" s="39">
        <f>Założenia!$E$34</f>
        <v>0.87</v>
      </c>
      <c r="M167" s="39">
        <f>Założenia!$E$34</f>
        <v>0.87</v>
      </c>
      <c r="N167" s="39">
        <f>Założenia!$E$34</f>
        <v>0.87</v>
      </c>
      <c r="O167" s="39">
        <f>Założenia!$E$34</f>
        <v>0.87</v>
      </c>
      <c r="P167" s="39">
        <f>Założenia!$E$34</f>
        <v>0.87</v>
      </c>
      <c r="Q167" s="39">
        <f>Założenia!$E$34</f>
        <v>0.87</v>
      </c>
      <c r="R167" s="39">
        <f>Założenia!$E$34</f>
        <v>0.87</v>
      </c>
      <c r="S167" s="39">
        <f>Założenia!$E$34</f>
        <v>0.87</v>
      </c>
      <c r="T167" s="39">
        <f>Założenia!$E$34</f>
        <v>0.87</v>
      </c>
    </row>
    <row r="168" spans="1:20" s="1" customFormat="1" ht="12">
      <c r="A168" s="96" t="s">
        <v>61</v>
      </c>
      <c r="B168" s="111" t="s">
        <v>96</v>
      </c>
      <c r="C168" s="214" t="s">
        <v>90</v>
      </c>
      <c r="D168" s="214"/>
      <c r="E168" s="39">
        <f>Założenia!$E$35</f>
        <v>0.78</v>
      </c>
      <c r="F168" s="39">
        <f>Założenia!$E$35</f>
        <v>0.78</v>
      </c>
      <c r="G168" s="39">
        <f>Założenia!$E$35</f>
        <v>0.78</v>
      </c>
      <c r="H168" s="39">
        <f>Założenia!$E$35</f>
        <v>0.78</v>
      </c>
      <c r="I168" s="39">
        <f>Założenia!$E$35</f>
        <v>0.78</v>
      </c>
      <c r="J168" s="39">
        <f>Założenia!$E$35</f>
        <v>0.78</v>
      </c>
      <c r="K168" s="39">
        <f>Założenia!$E$35</f>
        <v>0.78</v>
      </c>
      <c r="L168" s="39">
        <f>Założenia!$E$35</f>
        <v>0.78</v>
      </c>
      <c r="M168" s="39">
        <f>Założenia!$E$35</f>
        <v>0.78</v>
      </c>
      <c r="N168" s="39">
        <f>Założenia!$E$35</f>
        <v>0.78</v>
      </c>
      <c r="O168" s="39">
        <f>Założenia!$E$35</f>
        <v>0.78</v>
      </c>
      <c r="P168" s="39">
        <f>Założenia!$E$35</f>
        <v>0.78</v>
      </c>
      <c r="Q168" s="39">
        <f>Założenia!$E$35</f>
        <v>0.78</v>
      </c>
      <c r="R168" s="39">
        <f>Założenia!$E$35</f>
        <v>0.78</v>
      </c>
      <c r="S168" s="39">
        <f>Założenia!$E$35</f>
        <v>0.78</v>
      </c>
      <c r="T168" s="39">
        <f>Założenia!$E$35</f>
        <v>0.78</v>
      </c>
    </row>
    <row r="169" spans="1:20" s="1" customFormat="1" ht="12">
      <c r="A169" s="108" t="s">
        <v>30</v>
      </c>
      <c r="B169" s="118" t="s">
        <v>97</v>
      </c>
      <c r="C169" s="214" t="s">
        <v>0</v>
      </c>
      <c r="D169" s="214"/>
      <c r="E169" s="102">
        <f>E170+E171+E172+E173</f>
        <v>0</v>
      </c>
      <c r="F169" s="102">
        <f t="shared" ref="F169:T169" si="46">F170+F171+F172+F173</f>
        <v>-420.65743105329574</v>
      </c>
      <c r="G169" s="102">
        <f t="shared" si="46"/>
        <v>-428.93077087305488</v>
      </c>
      <c r="H169" s="102">
        <f t="shared" si="46"/>
        <v>-437.20411069281403</v>
      </c>
      <c r="I169" s="102">
        <f t="shared" si="46"/>
        <v>-445.47745051547889</v>
      </c>
      <c r="J169" s="102">
        <f t="shared" si="46"/>
        <v>-453.75079033523798</v>
      </c>
      <c r="K169" s="102">
        <f t="shared" si="46"/>
        <v>38758282.919958323</v>
      </c>
      <c r="L169" s="102">
        <f t="shared" si="46"/>
        <v>-560033.07052924659</v>
      </c>
      <c r="M169" s="102">
        <f t="shared" si="46"/>
        <v>-570333.67362381227</v>
      </c>
      <c r="N169" s="102">
        <f t="shared" si="46"/>
        <v>-580634.27671838074</v>
      </c>
      <c r="O169" s="102">
        <f t="shared" si="46"/>
        <v>-590934.87981294643</v>
      </c>
      <c r="P169" s="102">
        <f t="shared" si="46"/>
        <v>-601235.48290751211</v>
      </c>
      <c r="Q169" s="102">
        <f t="shared" si="46"/>
        <v>-10790536.086002078</v>
      </c>
      <c r="R169" s="102">
        <f t="shared" si="46"/>
        <v>-324180.36084088369</v>
      </c>
      <c r="S169" s="102">
        <f t="shared" si="46"/>
        <v>19151779.03606455</v>
      </c>
      <c r="T169" s="102">
        <f t="shared" si="46"/>
        <v>5785225.6995512564</v>
      </c>
    </row>
    <row r="170" spans="1:20" s="1" customFormat="1" ht="12">
      <c r="A170" s="96" t="s">
        <v>51</v>
      </c>
      <c r="B170" s="111" t="s">
        <v>33</v>
      </c>
      <c r="C170" s="214" t="s">
        <v>0</v>
      </c>
      <c r="D170" s="300">
        <f>SUMPRODUCT(E170:T170,$E$183:$T$183)</f>
        <v>33382374.776257612</v>
      </c>
      <c r="E170" s="23">
        <f t="shared" ref="E170:T170" si="47">E111*E167+E112*E166</f>
        <v>0</v>
      </c>
      <c r="F170" s="23">
        <f t="shared" si="47"/>
        <v>0</v>
      </c>
      <c r="G170" s="23">
        <f t="shared" si="47"/>
        <v>0</v>
      </c>
      <c r="H170" s="23">
        <f t="shared" si="47"/>
        <v>0</v>
      </c>
      <c r="I170" s="23">
        <f t="shared" si="47"/>
        <v>0</v>
      </c>
      <c r="J170" s="23">
        <f t="shared" si="47"/>
        <v>0</v>
      </c>
      <c r="K170" s="23">
        <f t="shared" si="47"/>
        <v>38906700</v>
      </c>
      <c r="L170" s="23">
        <f t="shared" si="47"/>
        <v>0</v>
      </c>
      <c r="M170" s="23">
        <f t="shared" si="47"/>
        <v>0</v>
      </c>
      <c r="N170" s="23">
        <f t="shared" si="47"/>
        <v>0</v>
      </c>
      <c r="O170" s="23">
        <f t="shared" si="47"/>
        <v>0</v>
      </c>
      <c r="P170" s="23">
        <f t="shared" si="47"/>
        <v>0</v>
      </c>
      <c r="Q170" s="23">
        <f t="shared" si="47"/>
        <v>-10179000</v>
      </c>
      <c r="R170" s="23">
        <f t="shared" si="47"/>
        <v>0</v>
      </c>
      <c r="S170" s="23">
        <f t="shared" si="47"/>
        <v>17608800</v>
      </c>
      <c r="T170" s="23">
        <f t="shared" si="47"/>
        <v>0</v>
      </c>
    </row>
    <row r="171" spans="1:20" s="1" customFormat="1" ht="12">
      <c r="A171" s="96" t="s">
        <v>52</v>
      </c>
      <c r="B171" s="111" t="s">
        <v>93</v>
      </c>
      <c r="C171" s="214" t="s">
        <v>0</v>
      </c>
      <c r="D171" s="300">
        <f>SUMPRODUCT(E171:T171,$E$183:$T$183)</f>
        <v>-3083438.4322742452</v>
      </c>
      <c r="E171" s="23">
        <f>E162*E168</f>
        <v>0</v>
      </c>
      <c r="F171" s="23">
        <f t="shared" ref="F171:T171" si="48">F162*F168</f>
        <v>-420.65743105329574</v>
      </c>
      <c r="G171" s="23">
        <f t="shared" si="48"/>
        <v>-428.93077087305488</v>
      </c>
      <c r="H171" s="23">
        <f t="shared" si="48"/>
        <v>-437.20411069281403</v>
      </c>
      <c r="I171" s="23">
        <f t="shared" si="48"/>
        <v>-445.47745051547889</v>
      </c>
      <c r="J171" s="23">
        <f t="shared" si="48"/>
        <v>-453.75079033523798</v>
      </c>
      <c r="K171" s="23">
        <f t="shared" si="48"/>
        <v>-148417.08004167417</v>
      </c>
      <c r="L171" s="23">
        <f t="shared" si="48"/>
        <v>-560033.07052924659</v>
      </c>
      <c r="M171" s="23">
        <f t="shared" si="48"/>
        <v>-570333.67362381227</v>
      </c>
      <c r="N171" s="23">
        <f t="shared" si="48"/>
        <v>-580634.27671838074</v>
      </c>
      <c r="O171" s="23">
        <f t="shared" si="48"/>
        <v>-590934.87981294643</v>
      </c>
      <c r="P171" s="23">
        <f t="shared" si="48"/>
        <v>-601235.48290751211</v>
      </c>
      <c r="Q171" s="23">
        <f t="shared" si="48"/>
        <v>-611536.08600207767</v>
      </c>
      <c r="R171" s="23">
        <f t="shared" si="48"/>
        <v>-324180.36084088369</v>
      </c>
      <c r="S171" s="23">
        <f t="shared" si="48"/>
        <v>-334480.96393544937</v>
      </c>
      <c r="T171" s="23">
        <f t="shared" si="48"/>
        <v>-559541.75796576287</v>
      </c>
    </row>
    <row r="172" spans="1:20" s="1" customFormat="1" ht="12">
      <c r="A172" s="96" t="s">
        <v>58</v>
      </c>
      <c r="B172" s="111" t="s">
        <v>60</v>
      </c>
      <c r="C172" s="214" t="s">
        <v>0</v>
      </c>
      <c r="D172" s="300">
        <f>SUMPRODUCT(E172:T172,$E$183:$T$183)</f>
        <v>1013777.449903519</v>
      </c>
      <c r="E172" s="23">
        <f>E163*E167</f>
        <v>0</v>
      </c>
      <c r="F172" s="23">
        <f t="shared" ref="F172:T172" si="49">F163*F167</f>
        <v>0</v>
      </c>
      <c r="G172" s="23">
        <f t="shared" si="49"/>
        <v>0</v>
      </c>
      <c r="H172" s="23">
        <f t="shared" si="49"/>
        <v>0</v>
      </c>
      <c r="I172" s="23">
        <f t="shared" si="49"/>
        <v>0</v>
      </c>
      <c r="J172" s="23">
        <f t="shared" si="49"/>
        <v>0</v>
      </c>
      <c r="K172" s="23">
        <f t="shared" si="49"/>
        <v>0</v>
      </c>
      <c r="L172" s="23">
        <f t="shared" si="49"/>
        <v>0</v>
      </c>
      <c r="M172" s="23">
        <f t="shared" si="49"/>
        <v>0</v>
      </c>
      <c r="N172" s="23">
        <f t="shared" si="49"/>
        <v>0</v>
      </c>
      <c r="O172" s="23">
        <f t="shared" si="49"/>
        <v>0</v>
      </c>
      <c r="P172" s="23">
        <f t="shared" si="49"/>
        <v>0</v>
      </c>
      <c r="Q172" s="23">
        <f t="shared" si="49"/>
        <v>0</v>
      </c>
      <c r="R172" s="23">
        <f t="shared" si="49"/>
        <v>0</v>
      </c>
      <c r="S172" s="23">
        <f t="shared" si="49"/>
        <v>1877460</v>
      </c>
      <c r="T172" s="23">
        <f t="shared" si="49"/>
        <v>0</v>
      </c>
    </row>
    <row r="173" spans="1:20" s="1" customFormat="1" ht="12">
      <c r="A173" s="96" t="s">
        <v>206</v>
      </c>
      <c r="B173" s="111" t="s">
        <v>53</v>
      </c>
      <c r="C173" s="214" t="s">
        <v>0</v>
      </c>
      <c r="D173" s="300">
        <f>SUMPRODUCT(E173:T173,$E$183:$T$183)</f>
        <v>3278471.0470388848</v>
      </c>
      <c r="E173" s="23">
        <f t="shared" ref="E173:T173" si="50">E164</f>
        <v>0</v>
      </c>
      <c r="F173" s="23">
        <f t="shared" si="50"/>
        <v>0</v>
      </c>
      <c r="G173" s="23">
        <f t="shared" si="50"/>
        <v>0</v>
      </c>
      <c r="H173" s="23">
        <f t="shared" si="50"/>
        <v>0</v>
      </c>
      <c r="I173" s="23">
        <f t="shared" si="50"/>
        <v>0</v>
      </c>
      <c r="J173" s="23">
        <f t="shared" si="50"/>
        <v>0</v>
      </c>
      <c r="K173" s="23">
        <f t="shared" si="50"/>
        <v>0</v>
      </c>
      <c r="L173" s="23">
        <f t="shared" si="50"/>
        <v>0</v>
      </c>
      <c r="M173" s="23">
        <f t="shared" si="50"/>
        <v>0</v>
      </c>
      <c r="N173" s="23">
        <f t="shared" si="50"/>
        <v>0</v>
      </c>
      <c r="O173" s="23">
        <f t="shared" si="50"/>
        <v>0</v>
      </c>
      <c r="P173" s="23">
        <f t="shared" si="50"/>
        <v>0</v>
      </c>
      <c r="Q173" s="23">
        <f t="shared" si="50"/>
        <v>0</v>
      </c>
      <c r="R173" s="23">
        <f t="shared" si="50"/>
        <v>0</v>
      </c>
      <c r="S173" s="23">
        <f t="shared" si="50"/>
        <v>0</v>
      </c>
      <c r="T173" s="23">
        <f t="shared" si="50"/>
        <v>6344767.4575170195</v>
      </c>
    </row>
    <row r="174" spans="1:20" s="1" customFormat="1" ht="12">
      <c r="A174" s="108" t="s">
        <v>31</v>
      </c>
      <c r="B174" s="118" t="s">
        <v>98</v>
      </c>
      <c r="C174" s="214" t="s">
        <v>0</v>
      </c>
      <c r="D174" s="302">
        <f>SUM(E174:T174)</f>
        <v>1726675.0858425526</v>
      </c>
      <c r="E174" s="22">
        <f>E175+E176+E177</f>
        <v>0</v>
      </c>
      <c r="F174" s="22">
        <f t="shared" ref="F174:T174" si="51">F175+F176+F177</f>
        <v>241.66503596879193</v>
      </c>
      <c r="G174" s="22">
        <f t="shared" si="51"/>
        <v>250.47357683972223</v>
      </c>
      <c r="H174" s="22">
        <f t="shared" si="51"/>
        <v>258.12311694858363</v>
      </c>
      <c r="I174" s="22">
        <f t="shared" si="51"/>
        <v>265.66554245408042</v>
      </c>
      <c r="J174" s="22">
        <f t="shared" si="51"/>
        <v>273.42872403506772</v>
      </c>
      <c r="K174" s="22">
        <f t="shared" si="51"/>
        <v>281.42146198306</v>
      </c>
      <c r="L174" s="22">
        <f t="shared" si="51"/>
        <v>130022.26368878258</v>
      </c>
      <c r="M174" s="22">
        <f t="shared" si="51"/>
        <v>140123.56266909477</v>
      </c>
      <c r="N174" s="22">
        <f t="shared" si="51"/>
        <v>150391.17009609222</v>
      </c>
      <c r="O174" s="22">
        <f t="shared" si="51"/>
        <v>168295.57287792611</v>
      </c>
      <c r="P174" s="22">
        <f t="shared" si="51"/>
        <v>186853.00228289794</v>
      </c>
      <c r="Q174" s="22">
        <f t="shared" si="51"/>
        <v>206053.84664605628</v>
      </c>
      <c r="R174" s="22">
        <f t="shared" si="51"/>
        <v>225886.75613399135</v>
      </c>
      <c r="S174" s="22">
        <f t="shared" si="51"/>
        <v>246338.4271045007</v>
      </c>
      <c r="T174" s="22">
        <f t="shared" si="51"/>
        <v>271139.70688498107</v>
      </c>
    </row>
    <row r="175" spans="1:20" s="1" customFormat="1" ht="14.25" customHeight="1">
      <c r="A175" s="96" t="s">
        <v>89</v>
      </c>
      <c r="B175" s="124" t="s">
        <v>101</v>
      </c>
      <c r="C175" s="214" t="s">
        <v>0</v>
      </c>
      <c r="D175" s="300">
        <f>SUMPRODUCT(E175:T175,$E$183:$T$183)</f>
        <v>-61510.025838230038</v>
      </c>
      <c r="E175" s="23">
        <f>-(E60-'Scenariusz bazowy'!E60)</f>
        <v>0</v>
      </c>
      <c r="F175" s="23">
        <f>-(F60-'Scenariusz bazowy'!F60)</f>
        <v>47.899612607288873</v>
      </c>
      <c r="G175" s="23">
        <f>-(G60-'Scenariusz bazowy'!G60)</f>
        <v>49.739224837947404</v>
      </c>
      <c r="H175" s="23">
        <f>-(H60-'Scenariusz bazowy'!H60)</f>
        <v>51.297293351730332</v>
      </c>
      <c r="I175" s="23">
        <f>-(I60-'Scenariusz bazowy'!I60)</f>
        <v>52.829341655131429</v>
      </c>
      <c r="J175" s="23">
        <f>-(J60-'Scenariusz bazowy'!J60)</f>
        <v>54.415015881997533</v>
      </c>
      <c r="K175" s="23">
        <f>-(K60-'Scenariusz bazowy'!K60)</f>
        <v>56.056453793251421</v>
      </c>
      <c r="L175" s="23">
        <f>-(L60-'Scenariusz bazowy'!L60)</f>
        <v>-25263.579191098339</v>
      </c>
      <c r="M175" s="23">
        <f>-(M60-'Scenariusz bazowy'!M60)</f>
        <v>-24153.54804858187</v>
      </c>
      <c r="N175" s="23">
        <f>-(N60-'Scenariusz bazowy'!N60)</f>
        <v>-22925.847949077899</v>
      </c>
      <c r="O175" s="23">
        <f>-(O60-'Scenariusz bazowy'!O60)</f>
        <v>-17593.050891184015</v>
      </c>
      <c r="P175" s="23">
        <f>-(P60-'Scenariusz bazowy'!P60)</f>
        <v>-11960.659194233362</v>
      </c>
      <c r="Q175" s="23">
        <f>-(Q60-'Scenariusz bazowy'!Q60)</f>
        <v>-6028.2207850588602</v>
      </c>
      <c r="R175" s="23">
        <f>-(R60-'Scenariusz bazowy'!R60)</f>
        <v>203.71053822600516</v>
      </c>
      <c r="S175" s="23">
        <f>-(S60-'Scenariusz bazowy'!S60)</f>
        <v>6733.480547556479</v>
      </c>
      <c r="T175" s="23">
        <f>-(T60-'Scenariusz bazowy'!T60)</f>
        <v>14903.452019098215</v>
      </c>
    </row>
    <row r="176" spans="1:20" s="1" customFormat="1" ht="12">
      <c r="A176" s="96" t="s">
        <v>102</v>
      </c>
      <c r="B176" s="124" t="s">
        <v>99</v>
      </c>
      <c r="C176" s="214" t="s">
        <v>0</v>
      </c>
      <c r="D176" s="300">
        <f>SUMPRODUCT(E176:T176,$E$183:$T$183)</f>
        <v>-245131.86998776242</v>
      </c>
      <c r="E176" s="23">
        <f>-(E43-'Scenariusz bazowy'!E43)</f>
        <v>0</v>
      </c>
      <c r="F176" s="23">
        <f>-(F43-'Scenariusz bazowy'!F43)</f>
        <v>44.481848421215545</v>
      </c>
      <c r="G176" s="23">
        <f>-(G43-'Scenariusz bazowy'!G43)</f>
        <v>45.717455321777379</v>
      </c>
      <c r="H176" s="23">
        <f>-(H43-'Scenariusz bazowy'!H43)</f>
        <v>46.953062222397421</v>
      </c>
      <c r="I176" s="23">
        <f>-(I43-'Scenariusz bazowy'!I43)</f>
        <v>48.188669122959254</v>
      </c>
      <c r="J176" s="23">
        <f>-(J43-'Scenariusz bazowy'!J43)</f>
        <v>49.424276023550192</v>
      </c>
      <c r="K176" s="23">
        <f>-(K43-'Scenariusz bazowy'!K43)</f>
        <v>50.659882924170233</v>
      </c>
      <c r="L176" s="23">
        <f>-(L43-'Scenariusz bazowy'!L43)</f>
        <v>-63580.757975103683</v>
      </c>
      <c r="M176" s="23">
        <f>-(M43-'Scenariusz bazowy'!M43)</f>
        <v>-60906.323012094072</v>
      </c>
      <c r="N176" s="23">
        <f>-(N43-'Scenariusz bazowy'!N43)</f>
        <v>-58037.085140533512</v>
      </c>
      <c r="O176" s="23">
        <f>-(O43-'Scenariusz bazowy'!O43)</f>
        <v>-51466.592006504827</v>
      </c>
      <c r="P176" s="23">
        <f>-(P43-'Scenariusz bazowy'!P43)</f>
        <v>-44545.453637084574</v>
      </c>
      <c r="Q176" s="23">
        <f>-(Q43-'Scenariusz bazowy'!Q43)</f>
        <v>-37273.670032272406</v>
      </c>
      <c r="R176" s="23">
        <f>-(R43-'Scenariusz bazowy'!R43)</f>
        <v>-29651.241192068672</v>
      </c>
      <c r="S176" s="23">
        <f>-(S43-'Scenariusz bazowy'!S43)</f>
        <v>-21678.167116473138</v>
      </c>
      <c r="T176" s="23">
        <f>-(T43-'Scenariusz bazowy'!T43)</f>
        <v>-11162.915084287815</v>
      </c>
    </row>
    <row r="177" spans="1:30" s="1" customFormat="1" ht="12">
      <c r="A177" s="96" t="s">
        <v>103</v>
      </c>
      <c r="B177" s="124" t="s">
        <v>100</v>
      </c>
      <c r="C177" s="214" t="s">
        <v>0</v>
      </c>
      <c r="D177" s="300">
        <f>SUMPRODUCT(E177:T177,$E$183:$T$183)</f>
        <v>1348855.0095730696</v>
      </c>
      <c r="E177" s="23">
        <f>-(E91-'Scenariusz bazowy'!E91)</f>
        <v>0</v>
      </c>
      <c r="F177" s="23">
        <f>-(F91-'Scenariusz bazowy'!F91)</f>
        <v>149.28357494028751</v>
      </c>
      <c r="G177" s="23">
        <f>-(G91-'Scenariusz bazowy'!G91)</f>
        <v>155.01689667999744</v>
      </c>
      <c r="H177" s="23">
        <f>-(H91-'Scenariusz bazowy'!H91)</f>
        <v>159.87276137445588</v>
      </c>
      <c r="I177" s="23">
        <f>-(I91-'Scenariusz bazowy'!I91)</f>
        <v>164.64753167598974</v>
      </c>
      <c r="J177" s="23">
        <f>-(J91-'Scenariusz bazowy'!J91)</f>
        <v>169.58943212951999</v>
      </c>
      <c r="K177" s="23">
        <f>-(K91-'Scenariusz bazowy'!K91)</f>
        <v>174.70512526563834</v>
      </c>
      <c r="L177" s="23">
        <f>-(L91-'Scenariusz bazowy'!L91)</f>
        <v>218866.6008549846</v>
      </c>
      <c r="M177" s="23">
        <f>-(M91-'Scenariusz bazowy'!M91)</f>
        <v>225183.43372977071</v>
      </c>
      <c r="N177" s="23">
        <f>-(N91-'Scenariusz bazowy'!N91)</f>
        <v>231354.10318570363</v>
      </c>
      <c r="O177" s="23">
        <f>-(O91-'Scenariusz bazowy'!O91)</f>
        <v>237355.21577561495</v>
      </c>
      <c r="P177" s="23">
        <f>-(P91-'Scenariusz bazowy'!P91)</f>
        <v>243359.11511421588</v>
      </c>
      <c r="Q177" s="23">
        <f>-(Q91-'Scenariusz bazowy'!Q91)</f>
        <v>249355.73746338754</v>
      </c>
      <c r="R177" s="23">
        <f>-(R91-'Scenariusz bazowy'!R91)</f>
        <v>255334.28678783402</v>
      </c>
      <c r="S177" s="23">
        <f>-(S91-'Scenariusz bazowy'!S91)</f>
        <v>261283.11367341736</v>
      </c>
      <c r="T177" s="23">
        <f>-(T91-'Scenariusz bazowy'!T91)</f>
        <v>267399.16995017068</v>
      </c>
    </row>
    <row r="178" spans="1:30" s="13" customFormat="1" ht="12">
      <c r="A178" s="108" t="s">
        <v>32</v>
      </c>
      <c r="B178" s="118" t="s">
        <v>104</v>
      </c>
      <c r="C178" s="301" t="s">
        <v>0</v>
      </c>
      <c r="D178" s="301"/>
      <c r="E178" s="22">
        <f>-E179+E180+E181+E182</f>
        <v>0</v>
      </c>
      <c r="F178" s="22">
        <f t="shared" ref="F178:T178" si="52">-F179+F180+F181+F182</f>
        <v>662.32246702208772</v>
      </c>
      <c r="G178" s="22">
        <f t="shared" si="52"/>
        <v>679.40434771277705</v>
      </c>
      <c r="H178" s="22">
        <f t="shared" si="52"/>
        <v>695.32722764139771</v>
      </c>
      <c r="I178" s="22">
        <f t="shared" si="52"/>
        <v>711.14299296955937</v>
      </c>
      <c r="J178" s="22">
        <f t="shared" si="52"/>
        <v>727.1795143703057</v>
      </c>
      <c r="K178" s="22">
        <f t="shared" si="52"/>
        <v>-38758001.498496339</v>
      </c>
      <c r="L178" s="22">
        <f t="shared" si="52"/>
        <v>690055.33421802917</v>
      </c>
      <c r="M178" s="22">
        <f t="shared" si="52"/>
        <v>710457.23629290704</v>
      </c>
      <c r="N178" s="22">
        <f t="shared" si="52"/>
        <v>731025.44681447302</v>
      </c>
      <c r="O178" s="22">
        <f t="shared" si="52"/>
        <v>759230.4526908726</v>
      </c>
      <c r="P178" s="22">
        <f t="shared" si="52"/>
        <v>788088.48519041005</v>
      </c>
      <c r="Q178" s="22">
        <f t="shared" si="52"/>
        <v>10996589.932648133</v>
      </c>
      <c r="R178" s="22">
        <f t="shared" si="52"/>
        <v>550067.1169748751</v>
      </c>
      <c r="S178" s="22">
        <f t="shared" si="52"/>
        <v>-18905440.608960051</v>
      </c>
      <c r="T178" s="22">
        <f t="shared" si="52"/>
        <v>7175448.9223677637</v>
      </c>
    </row>
    <row r="179" spans="1:30" s="13" customFormat="1" ht="12">
      <c r="A179" s="96" t="s">
        <v>109</v>
      </c>
      <c r="B179" s="111" t="s">
        <v>112</v>
      </c>
      <c r="C179" s="214" t="s">
        <v>0</v>
      </c>
      <c r="D179" s="301"/>
      <c r="E179" s="23">
        <f>E170+E171+E172</f>
        <v>0</v>
      </c>
      <c r="F179" s="23">
        <f t="shared" ref="F179:T179" si="53">F170+F171+F172</f>
        <v>-420.65743105329574</v>
      </c>
      <c r="G179" s="23">
        <f t="shared" si="53"/>
        <v>-428.93077087305488</v>
      </c>
      <c r="H179" s="23">
        <f t="shared" si="53"/>
        <v>-437.20411069281403</v>
      </c>
      <c r="I179" s="23">
        <f t="shared" si="53"/>
        <v>-445.47745051547889</v>
      </c>
      <c r="J179" s="23">
        <f t="shared" si="53"/>
        <v>-453.75079033523798</v>
      </c>
      <c r="K179" s="23">
        <f t="shared" si="53"/>
        <v>38758282.919958323</v>
      </c>
      <c r="L179" s="23">
        <f t="shared" si="53"/>
        <v>-560033.07052924659</v>
      </c>
      <c r="M179" s="23">
        <f t="shared" si="53"/>
        <v>-570333.67362381227</v>
      </c>
      <c r="N179" s="23">
        <f t="shared" si="53"/>
        <v>-580634.27671838074</v>
      </c>
      <c r="O179" s="23">
        <f t="shared" si="53"/>
        <v>-590934.87981294643</v>
      </c>
      <c r="P179" s="23">
        <f t="shared" si="53"/>
        <v>-601235.48290751211</v>
      </c>
      <c r="Q179" s="23">
        <f t="shared" si="53"/>
        <v>-10790536.086002078</v>
      </c>
      <c r="R179" s="23">
        <f t="shared" si="53"/>
        <v>-324180.36084088369</v>
      </c>
      <c r="S179" s="23">
        <f t="shared" si="53"/>
        <v>19151779.03606455</v>
      </c>
      <c r="T179" s="23">
        <f t="shared" si="53"/>
        <v>-559541.75796576287</v>
      </c>
    </row>
    <row r="180" spans="1:30" s="13" customFormat="1" ht="12">
      <c r="A180" s="96" t="s">
        <v>110</v>
      </c>
      <c r="B180" s="111" t="s">
        <v>53</v>
      </c>
      <c r="C180" s="214" t="s">
        <v>0</v>
      </c>
      <c r="D180" s="301"/>
      <c r="E180" s="23">
        <f t="shared" ref="E180:T180" si="54">E173</f>
        <v>0</v>
      </c>
      <c r="F180" s="23">
        <f t="shared" si="54"/>
        <v>0</v>
      </c>
      <c r="G180" s="23">
        <f t="shared" si="54"/>
        <v>0</v>
      </c>
      <c r="H180" s="23">
        <f t="shared" si="54"/>
        <v>0</v>
      </c>
      <c r="I180" s="23">
        <f t="shared" si="54"/>
        <v>0</v>
      </c>
      <c r="J180" s="23">
        <f t="shared" si="54"/>
        <v>0</v>
      </c>
      <c r="K180" s="23">
        <f t="shared" si="54"/>
        <v>0</v>
      </c>
      <c r="L180" s="23">
        <f t="shared" si="54"/>
        <v>0</v>
      </c>
      <c r="M180" s="23">
        <f t="shared" si="54"/>
        <v>0</v>
      </c>
      <c r="N180" s="23">
        <f t="shared" si="54"/>
        <v>0</v>
      </c>
      <c r="O180" s="23">
        <f t="shared" si="54"/>
        <v>0</v>
      </c>
      <c r="P180" s="23">
        <f t="shared" si="54"/>
        <v>0</v>
      </c>
      <c r="Q180" s="23">
        <f t="shared" si="54"/>
        <v>0</v>
      </c>
      <c r="R180" s="23">
        <f t="shared" si="54"/>
        <v>0</v>
      </c>
      <c r="S180" s="23">
        <f t="shared" si="54"/>
        <v>0</v>
      </c>
      <c r="T180" s="23">
        <f t="shared" si="54"/>
        <v>6344767.4575170195</v>
      </c>
    </row>
    <row r="181" spans="1:30" s="13" customFormat="1" ht="12">
      <c r="A181" s="96" t="s">
        <v>113</v>
      </c>
      <c r="B181" s="111" t="s">
        <v>107</v>
      </c>
      <c r="C181" s="214" t="s">
        <v>0</v>
      </c>
      <c r="D181" s="301"/>
      <c r="E181" s="23">
        <f t="shared" ref="E181:T181" si="55">SUMIF(E175:E177,"&gt;0")</f>
        <v>0</v>
      </c>
      <c r="F181" s="23">
        <f t="shared" si="55"/>
        <v>241.66503596879193</v>
      </c>
      <c r="G181" s="23">
        <f t="shared" si="55"/>
        <v>250.47357683972223</v>
      </c>
      <c r="H181" s="23">
        <f t="shared" si="55"/>
        <v>258.12311694858363</v>
      </c>
      <c r="I181" s="23">
        <f t="shared" si="55"/>
        <v>265.66554245408042</v>
      </c>
      <c r="J181" s="23">
        <f t="shared" si="55"/>
        <v>273.42872403506772</v>
      </c>
      <c r="K181" s="23">
        <f t="shared" si="55"/>
        <v>281.42146198306</v>
      </c>
      <c r="L181" s="23">
        <f t="shared" si="55"/>
        <v>218866.6008549846</v>
      </c>
      <c r="M181" s="23">
        <f t="shared" si="55"/>
        <v>225183.43372977071</v>
      </c>
      <c r="N181" s="23">
        <f t="shared" si="55"/>
        <v>231354.10318570363</v>
      </c>
      <c r="O181" s="23">
        <f t="shared" si="55"/>
        <v>237355.21577561495</v>
      </c>
      <c r="P181" s="23">
        <f t="shared" si="55"/>
        <v>243359.11511421588</v>
      </c>
      <c r="Q181" s="23">
        <f t="shared" si="55"/>
        <v>249355.73746338754</v>
      </c>
      <c r="R181" s="23">
        <f t="shared" si="55"/>
        <v>255537.99732606002</v>
      </c>
      <c r="S181" s="23">
        <f t="shared" si="55"/>
        <v>268016.59422097384</v>
      </c>
      <c r="T181" s="23">
        <f t="shared" si="55"/>
        <v>282302.62196926889</v>
      </c>
    </row>
    <row r="182" spans="1:30" s="13" customFormat="1" ht="12">
      <c r="A182" s="96" t="s">
        <v>114</v>
      </c>
      <c r="B182" s="111" t="s">
        <v>108</v>
      </c>
      <c r="C182" s="214" t="s">
        <v>0</v>
      </c>
      <c r="D182" s="301"/>
      <c r="E182" s="23">
        <f t="shared" ref="E182:T182" si="56">SUMIF(E175:E177,"&lt;0")</f>
        <v>0</v>
      </c>
      <c r="F182" s="23">
        <f t="shared" si="56"/>
        <v>0</v>
      </c>
      <c r="G182" s="23">
        <f t="shared" si="56"/>
        <v>0</v>
      </c>
      <c r="H182" s="23">
        <f t="shared" si="56"/>
        <v>0</v>
      </c>
      <c r="I182" s="23">
        <f t="shared" si="56"/>
        <v>0</v>
      </c>
      <c r="J182" s="23">
        <f t="shared" si="56"/>
        <v>0</v>
      </c>
      <c r="K182" s="23">
        <f t="shared" si="56"/>
        <v>0</v>
      </c>
      <c r="L182" s="23">
        <f t="shared" si="56"/>
        <v>-88844.337166202022</v>
      </c>
      <c r="M182" s="23">
        <f t="shared" si="56"/>
        <v>-85059.871060675941</v>
      </c>
      <c r="N182" s="23">
        <f t="shared" si="56"/>
        <v>-80962.933089611412</v>
      </c>
      <c r="O182" s="23">
        <f t="shared" si="56"/>
        <v>-69059.642897688842</v>
      </c>
      <c r="P182" s="23">
        <f t="shared" si="56"/>
        <v>-56506.112831317936</v>
      </c>
      <c r="Q182" s="23">
        <f t="shared" si="56"/>
        <v>-43301.890817331267</v>
      </c>
      <c r="R182" s="23">
        <f t="shared" si="56"/>
        <v>-29651.241192068672</v>
      </c>
      <c r="S182" s="23">
        <f t="shared" si="56"/>
        <v>-21678.167116473138</v>
      </c>
      <c r="T182" s="23">
        <f t="shared" si="56"/>
        <v>-11162.915084287815</v>
      </c>
    </row>
    <row r="183" spans="1:30" s="1" customFormat="1" ht="12">
      <c r="A183" s="108" t="s">
        <v>36</v>
      </c>
      <c r="B183" s="118" t="s">
        <v>88</v>
      </c>
      <c r="C183" s="214" t="s">
        <v>90</v>
      </c>
      <c r="D183" s="214"/>
      <c r="E183" s="34">
        <v>1</v>
      </c>
      <c r="F183" s="34">
        <f t="shared" ref="F183:T183" si="57">(1/(1+F184)^F159)</f>
        <v>0.95693779904306231</v>
      </c>
      <c r="G183" s="34">
        <f t="shared" si="57"/>
        <v>0.91572995123738021</v>
      </c>
      <c r="H183" s="34">
        <f t="shared" si="57"/>
        <v>0.87629660405490928</v>
      </c>
      <c r="I183" s="34">
        <f t="shared" si="57"/>
        <v>0.83856134359321488</v>
      </c>
      <c r="J183" s="34">
        <f t="shared" si="57"/>
        <v>0.80245104650068411</v>
      </c>
      <c r="K183" s="34">
        <f t="shared" si="57"/>
        <v>0.76789573827816682</v>
      </c>
      <c r="L183" s="34">
        <f t="shared" si="57"/>
        <v>0.73482845768245619</v>
      </c>
      <c r="M183" s="34">
        <f t="shared" si="57"/>
        <v>0.70318512696885782</v>
      </c>
      <c r="N183" s="34">
        <f t="shared" si="57"/>
        <v>0.67290442772139514</v>
      </c>
      <c r="O183" s="34">
        <f t="shared" si="57"/>
        <v>0.64392768203004325</v>
      </c>
      <c r="P183" s="34">
        <f t="shared" si="57"/>
        <v>0.61619873878473042</v>
      </c>
      <c r="Q183" s="34">
        <f t="shared" si="57"/>
        <v>0.58966386486577083</v>
      </c>
      <c r="R183" s="34">
        <f t="shared" si="57"/>
        <v>0.56427164101987637</v>
      </c>
      <c r="S183" s="34">
        <f t="shared" si="57"/>
        <v>0.53997286221997753</v>
      </c>
      <c r="T183" s="34">
        <f t="shared" si="57"/>
        <v>0.51672044231576797</v>
      </c>
    </row>
    <row r="184" spans="1:30" s="1" customFormat="1" ht="12">
      <c r="A184" s="96" t="s">
        <v>111</v>
      </c>
      <c r="B184" s="111" t="s">
        <v>105</v>
      </c>
      <c r="C184" s="214" t="s">
        <v>1</v>
      </c>
      <c r="D184" s="214"/>
      <c r="E184" s="35">
        <f>Założenia!E17</f>
        <v>4.4999999999999998E-2</v>
      </c>
      <c r="F184" s="35">
        <f>Założenia!F17</f>
        <v>4.4999999999999998E-2</v>
      </c>
      <c r="G184" s="35">
        <f>Założenia!G17</f>
        <v>4.4999999999999998E-2</v>
      </c>
      <c r="H184" s="35">
        <f>Założenia!H17</f>
        <v>4.4999999999999998E-2</v>
      </c>
      <c r="I184" s="35">
        <f>Założenia!I17</f>
        <v>4.4999999999999998E-2</v>
      </c>
      <c r="J184" s="35">
        <f>Założenia!J17</f>
        <v>4.4999999999999998E-2</v>
      </c>
      <c r="K184" s="35">
        <f>Założenia!K17</f>
        <v>4.4999999999999998E-2</v>
      </c>
      <c r="L184" s="35">
        <f>Założenia!L17</f>
        <v>4.4999999999999998E-2</v>
      </c>
      <c r="M184" s="35">
        <f>Założenia!M17</f>
        <v>4.4999999999999998E-2</v>
      </c>
      <c r="N184" s="35">
        <f>Założenia!N17</f>
        <v>4.4999999999999998E-2</v>
      </c>
      <c r="O184" s="35">
        <f>Założenia!O17</f>
        <v>4.4999999999999998E-2</v>
      </c>
      <c r="P184" s="35">
        <f>Założenia!P17</f>
        <v>4.4999999999999998E-2</v>
      </c>
      <c r="Q184" s="35">
        <f>Założenia!Q17</f>
        <v>4.4999999999999998E-2</v>
      </c>
      <c r="R184" s="35">
        <f>Założenia!R17</f>
        <v>4.4999999999999998E-2</v>
      </c>
      <c r="S184" s="35">
        <f>Założenia!S17</f>
        <v>4.4999999999999998E-2</v>
      </c>
      <c r="T184" s="35">
        <f>Założenia!T17</f>
        <v>4.4999999999999998E-2</v>
      </c>
    </row>
    <row r="185" spans="1:30" s="13" customFormat="1" ht="12">
      <c r="A185" s="108" t="s">
        <v>37</v>
      </c>
      <c r="B185" s="118" t="s">
        <v>106</v>
      </c>
      <c r="C185" s="301" t="s">
        <v>0</v>
      </c>
      <c r="D185" s="301"/>
      <c r="E185" s="116">
        <f>E178*E183</f>
        <v>0</v>
      </c>
      <c r="F185" s="116">
        <f>F178*F183</f>
        <v>633.80140384888784</v>
      </c>
      <c r="G185" s="116">
        <f>G178*G183</f>
        <v>622.15091020148543</v>
      </c>
      <c r="H185" s="116">
        <f t="shared" ref="H185:T185" si="58">H178*H183</f>
        <v>609.31288828907168</v>
      </c>
      <c r="I185" s="116">
        <f t="shared" si="58"/>
        <v>596.33702367145384</v>
      </c>
      <c r="J185" s="116">
        <f t="shared" si="58"/>
        <v>583.52596230031111</v>
      </c>
      <c r="K185" s="116">
        <f t="shared" si="58"/>
        <v>-29762104.174874142</v>
      </c>
      <c r="L185" s="116">
        <f t="shared" si="58"/>
        <v>507072.2969589862</v>
      </c>
      <c r="M185" s="116">
        <f t="shared" si="58"/>
        <v>499582.96190857165</v>
      </c>
      <c r="N185" s="116">
        <f t="shared" si="58"/>
        <v>491910.25993847015</v>
      </c>
      <c r="O185" s="116">
        <f t="shared" si="58"/>
        <v>488889.50552785402</v>
      </c>
      <c r="P185" s="116">
        <f t="shared" si="58"/>
        <v>485619.13062509935</v>
      </c>
      <c r="Q185" s="116">
        <f t="shared" si="58"/>
        <v>6484291.7200293252</v>
      </c>
      <c r="R185" s="116">
        <f t="shared" si="58"/>
        <v>310387.27476648509</v>
      </c>
      <c r="S185" s="116">
        <f t="shared" si="58"/>
        <v>-10208424.877149954</v>
      </c>
      <c r="T185" s="116">
        <f t="shared" si="58"/>
        <v>3707701.1409800714</v>
      </c>
    </row>
    <row r="186" spans="1:30" s="32" customFormat="1" ht="12">
      <c r="A186" s="108" t="s">
        <v>38</v>
      </c>
      <c r="B186" s="117" t="s">
        <v>68</v>
      </c>
      <c r="C186" s="105" t="s">
        <v>0</v>
      </c>
      <c r="D186" s="105"/>
      <c r="E186" s="180">
        <f>SUM(E185:T185)</f>
        <v>-26992029.633100919</v>
      </c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</row>
    <row r="187" spans="1:30" s="32" customFormat="1" ht="12">
      <c r="A187" s="108" t="s">
        <v>39</v>
      </c>
      <c r="B187" s="117" t="s">
        <v>91</v>
      </c>
      <c r="C187" s="105" t="s">
        <v>1</v>
      </c>
      <c r="D187" s="105"/>
      <c r="E187" s="332">
        <f>IRR(E178:T178)</f>
        <v>7.7587852234278802</v>
      </c>
      <c r="F187" s="599" t="s">
        <v>403</v>
      </c>
      <c r="G187" s="120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</row>
    <row r="188" spans="1:30" s="123" customFormat="1" ht="12">
      <c r="A188" s="46" t="s">
        <v>40</v>
      </c>
      <c r="B188" s="117" t="s">
        <v>66</v>
      </c>
      <c r="C188" s="105" t="s">
        <v>90</v>
      </c>
      <c r="D188" s="105"/>
      <c r="E188" s="126">
        <f>(D173-D171+D177)/(D170+D172-D175-D176)</f>
        <v>0.22219434152135847</v>
      </c>
      <c r="F188" s="119"/>
      <c r="G188" s="120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</row>
    <row r="189" spans="1:30" s="123" customFormat="1" ht="12">
      <c r="A189" s="46"/>
      <c r="B189" s="122"/>
      <c r="C189" s="37"/>
      <c r="D189" s="37"/>
      <c r="E189" s="121"/>
      <c r="F189" s="119"/>
      <c r="G189" s="120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</row>
    <row r="190" spans="1:30" s="1" customFormat="1" ht="12">
      <c r="A190" s="358" t="s">
        <v>333</v>
      </c>
      <c r="B190" s="86" t="s">
        <v>320</v>
      </c>
      <c r="E190" s="359">
        <v>0</v>
      </c>
      <c r="F190" s="359">
        <f>E190+1</f>
        <v>1</v>
      </c>
      <c r="G190" s="359">
        <f t="shared" ref="G190:T190" si="59">F190+1</f>
        <v>2</v>
      </c>
      <c r="H190" s="359">
        <f t="shared" si="59"/>
        <v>3</v>
      </c>
      <c r="I190" s="359">
        <f t="shared" si="59"/>
        <v>4</v>
      </c>
      <c r="J190" s="359">
        <f t="shared" si="59"/>
        <v>5</v>
      </c>
      <c r="K190" s="359">
        <f t="shared" si="59"/>
        <v>6</v>
      </c>
      <c r="L190" s="359">
        <f t="shared" si="59"/>
        <v>7</v>
      </c>
      <c r="M190" s="359">
        <f t="shared" si="59"/>
        <v>8</v>
      </c>
      <c r="N190" s="359">
        <f t="shared" si="59"/>
        <v>9</v>
      </c>
      <c r="O190" s="359">
        <f t="shared" si="59"/>
        <v>10</v>
      </c>
      <c r="P190" s="359">
        <f t="shared" si="59"/>
        <v>11</v>
      </c>
      <c r="Q190" s="359">
        <f t="shared" si="59"/>
        <v>12</v>
      </c>
      <c r="R190" s="359">
        <f t="shared" si="59"/>
        <v>13</v>
      </c>
      <c r="S190" s="359">
        <f t="shared" si="59"/>
        <v>14</v>
      </c>
      <c r="T190" s="359">
        <f t="shared" si="59"/>
        <v>15</v>
      </c>
      <c r="U190" s="234"/>
      <c r="V190" s="234"/>
      <c r="W190" s="234"/>
      <c r="X190" s="234"/>
      <c r="Y190" s="234"/>
      <c r="Z190" s="234"/>
      <c r="AA190" s="234"/>
      <c r="AB190" s="234"/>
      <c r="AC190" s="234"/>
      <c r="AD190" s="234"/>
    </row>
    <row r="191" spans="1:30" s="123" customFormat="1" ht="12">
      <c r="A191" s="46"/>
      <c r="B191" s="122"/>
      <c r="C191" s="37"/>
      <c r="D191" s="37"/>
      <c r="E191" s="121"/>
      <c r="F191" s="119"/>
      <c r="G191" s="120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</row>
    <row r="192" spans="1:30" s="32" customFormat="1" ht="12">
      <c r="A192" s="96" t="s">
        <v>321</v>
      </c>
      <c r="B192" s="111" t="s">
        <v>322</v>
      </c>
      <c r="C192" s="105"/>
      <c r="D192" s="360"/>
      <c r="E192" s="361"/>
      <c r="F192" s="361"/>
      <c r="G192" s="362"/>
      <c r="H192" s="361"/>
      <c r="I192" s="361"/>
      <c r="J192" s="361"/>
      <c r="K192" s="361"/>
      <c r="L192" s="361"/>
      <c r="M192" s="361"/>
      <c r="N192" s="361"/>
      <c r="O192" s="361"/>
      <c r="P192" s="361"/>
      <c r="Q192" s="361"/>
      <c r="R192" s="361"/>
      <c r="S192" s="361"/>
      <c r="T192" s="36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</row>
    <row r="193" spans="1:30" s="26" customFormat="1">
      <c r="A193" s="96" t="s">
        <v>34</v>
      </c>
      <c r="B193" s="111" t="s">
        <v>323</v>
      </c>
      <c r="C193" s="105" t="s">
        <v>0</v>
      </c>
      <c r="D193" s="363">
        <f>SUM(E193:AD193)</f>
        <v>56348769.525323883</v>
      </c>
      <c r="E193" s="364">
        <f>(Opcje!E98+Opcje!E99)*E142</f>
        <v>0</v>
      </c>
      <c r="F193" s="364">
        <f>(Opcje!F98+Opcje!F99)*F142</f>
        <v>0</v>
      </c>
      <c r="G193" s="364">
        <f>(Opcje!G98+Opcje!G99)*G142</f>
        <v>0</v>
      </c>
      <c r="H193" s="364">
        <f>(Opcje!H98+Opcje!H99)*H142</f>
        <v>0</v>
      </c>
      <c r="I193" s="364">
        <f>(Opcje!I98+Opcje!I99)*I142</f>
        <v>0</v>
      </c>
      <c r="J193" s="364">
        <f>(Opcje!J98+Opcje!J99)*J142</f>
        <v>0</v>
      </c>
      <c r="K193" s="364">
        <f>(Opcje!K98+Opcje!K99)*K142</f>
        <v>44660673.849010535</v>
      </c>
      <c r="L193" s="364">
        <f>(Opcje!L98+Opcje!L99)*L142</f>
        <v>0</v>
      </c>
      <c r="M193" s="364">
        <f>(Opcje!M98+Opcje!M99)*M142</f>
        <v>0</v>
      </c>
      <c r="N193" s="364">
        <f>(Opcje!N98+Opcje!N99)*N142</f>
        <v>0</v>
      </c>
      <c r="O193" s="364">
        <f>(Opcje!O98+Opcje!O99)*O142</f>
        <v>0</v>
      </c>
      <c r="P193" s="364">
        <f>(Opcje!P98+Opcje!P99)*P142</f>
        <v>0</v>
      </c>
      <c r="Q193" s="364">
        <f>(Opcje!Q98+Opcje!Q99)*Q142</f>
        <v>0</v>
      </c>
      <c r="R193" s="364">
        <f>(Opcje!R98+Opcje!R99)*R142</f>
        <v>0</v>
      </c>
      <c r="S193" s="364">
        <f>(Opcje!S98+Opcje!S99)*S142</f>
        <v>11688095.67631335</v>
      </c>
      <c r="T193" s="364">
        <f>(Opcje!T98+Opcje!T99)*T142</f>
        <v>0</v>
      </c>
      <c r="U193" s="369"/>
      <c r="V193" s="369"/>
      <c r="W193" s="369"/>
      <c r="X193" s="369"/>
      <c r="Y193" s="369"/>
      <c r="Z193" s="369"/>
      <c r="AA193" s="369"/>
      <c r="AB193" s="369"/>
      <c r="AC193" s="369"/>
      <c r="AD193" s="369"/>
    </row>
    <row r="194" spans="1:30" s="28" customFormat="1" ht="12">
      <c r="A194" s="96" t="s">
        <v>43</v>
      </c>
      <c r="B194" s="111" t="s">
        <v>334</v>
      </c>
      <c r="C194" s="105" t="s">
        <v>0</v>
      </c>
      <c r="D194" s="363">
        <f>SUM(E194:AD194)</f>
        <v>0</v>
      </c>
      <c r="E194" s="365">
        <f>E133*E142</f>
        <v>0</v>
      </c>
      <c r="F194" s="365">
        <f t="shared" ref="F194:T194" si="60">F133*F142</f>
        <v>0</v>
      </c>
      <c r="G194" s="365">
        <f t="shared" si="60"/>
        <v>0</v>
      </c>
      <c r="H194" s="365">
        <f t="shared" si="60"/>
        <v>0</v>
      </c>
      <c r="I194" s="365">
        <f t="shared" si="60"/>
        <v>0</v>
      </c>
      <c r="J194" s="365">
        <f t="shared" si="60"/>
        <v>0</v>
      </c>
      <c r="K194" s="365">
        <f t="shared" si="60"/>
        <v>0</v>
      </c>
      <c r="L194" s="365">
        <f t="shared" si="60"/>
        <v>0</v>
      </c>
      <c r="M194" s="365">
        <f t="shared" si="60"/>
        <v>0</v>
      </c>
      <c r="N194" s="365">
        <f t="shared" si="60"/>
        <v>0</v>
      </c>
      <c r="O194" s="365">
        <f t="shared" si="60"/>
        <v>0</v>
      </c>
      <c r="P194" s="365">
        <f t="shared" si="60"/>
        <v>0</v>
      </c>
      <c r="Q194" s="365">
        <f t="shared" si="60"/>
        <v>0</v>
      </c>
      <c r="R194" s="365">
        <f t="shared" si="60"/>
        <v>0</v>
      </c>
      <c r="S194" s="365">
        <f t="shared" si="60"/>
        <v>0</v>
      </c>
      <c r="T194" s="365">
        <f t="shared" si="60"/>
        <v>0</v>
      </c>
      <c r="U194" s="370"/>
      <c r="V194" s="370"/>
      <c r="W194" s="370"/>
      <c r="X194" s="370"/>
      <c r="Y194" s="370"/>
      <c r="Z194" s="370"/>
      <c r="AA194" s="370"/>
      <c r="AB194" s="370"/>
      <c r="AC194" s="370"/>
      <c r="AD194" s="370"/>
    </row>
    <row r="195" spans="1:30" s="28" customFormat="1" ht="12">
      <c r="A195" s="96" t="s">
        <v>44</v>
      </c>
      <c r="B195" s="111" t="s">
        <v>386</v>
      </c>
      <c r="C195" s="105" t="s">
        <v>0</v>
      </c>
      <c r="D195" s="363">
        <f>SUM(E195:AD195)</f>
        <v>-2907364.555357032</v>
      </c>
      <c r="E195" s="365">
        <f>(E136+Opcje!E100)*E142</f>
        <v>0</v>
      </c>
      <c r="F195" s="365">
        <f>(F136+Opcje!F100)*F142</f>
        <v>-518.56192190988133</v>
      </c>
      <c r="G195" s="365">
        <f>(G136+Opcje!G100)*G142</f>
        <v>-508.42385790407235</v>
      </c>
      <c r="H195" s="365">
        <f>(H136+Opcje!H100)*H142</f>
        <v>-498.29854154085541</v>
      </c>
      <c r="I195" s="365">
        <f>(I136+Opcje!I100)*I142</f>
        <v>-488.19998937162637</v>
      </c>
      <c r="J195" s="365">
        <f>(J136+Opcje!J100)*J142</f>
        <v>-478.14112088462986</v>
      </c>
      <c r="K195" s="365">
        <f>(K136+Opcje!K100)*K142</f>
        <v>-150379.71054280613</v>
      </c>
      <c r="L195" s="365">
        <f>(L136+Opcje!L100)*L142</f>
        <v>-545614.23881720763</v>
      </c>
      <c r="M195" s="365">
        <f>(M136+Opcje!M100)*M142</f>
        <v>-534278.49858938181</v>
      </c>
      <c r="N195" s="365">
        <f>(N136+Opcje!N100)*N142</f>
        <v>-523007.61672402878</v>
      </c>
      <c r="O195" s="365">
        <f>(O136+Opcje!O100)*O142</f>
        <v>-511813.37296282855</v>
      </c>
      <c r="P195" s="365">
        <f>(P136+Opcje!P100)*P142</f>
        <v>-500706.54496917041</v>
      </c>
      <c r="Q195" s="365">
        <f>(Q136+Opcje!Q100)*Q142</f>
        <v>-489696.96798543422</v>
      </c>
      <c r="R195" s="365">
        <f>(R136+Opcje!R100)*R142</f>
        <v>-249608.1076343896</v>
      </c>
      <c r="S195" s="365">
        <f>(S136+Opcje!S100)*S142</f>
        <v>998557.35392055812</v>
      </c>
      <c r="T195" s="365">
        <f>(T136+Opcje!T100)*T142</f>
        <v>-398325.22562073189</v>
      </c>
      <c r="U195" s="370"/>
      <c r="V195" s="370"/>
      <c r="W195" s="370"/>
      <c r="X195" s="370"/>
      <c r="Y195" s="370"/>
      <c r="Z195" s="370"/>
      <c r="AA195" s="370"/>
      <c r="AB195" s="370"/>
      <c r="AC195" s="370"/>
      <c r="AD195" s="370"/>
    </row>
    <row r="196" spans="1:30" s="26" customFormat="1">
      <c r="A196" s="96" t="s">
        <v>35</v>
      </c>
      <c r="B196" s="111" t="s">
        <v>324</v>
      </c>
      <c r="C196" s="105" t="s">
        <v>0</v>
      </c>
      <c r="D196" s="363">
        <f>ROUNDDOWN(SUM(E196:AD196),2)</f>
        <v>2907364.55</v>
      </c>
      <c r="E196" s="364">
        <f>E194-E195</f>
        <v>0</v>
      </c>
      <c r="F196" s="364">
        <f t="shared" ref="F196:T196" si="61">F194-F195</f>
        <v>518.56192190988133</v>
      </c>
      <c r="G196" s="364">
        <f t="shared" si="61"/>
        <v>508.42385790407235</v>
      </c>
      <c r="H196" s="364">
        <f t="shared" si="61"/>
        <v>498.29854154085541</v>
      </c>
      <c r="I196" s="364">
        <f t="shared" si="61"/>
        <v>488.19998937162637</v>
      </c>
      <c r="J196" s="364">
        <f t="shared" si="61"/>
        <v>478.14112088462986</v>
      </c>
      <c r="K196" s="364">
        <f t="shared" si="61"/>
        <v>150379.71054280613</v>
      </c>
      <c r="L196" s="364">
        <f t="shared" si="61"/>
        <v>545614.23881720763</v>
      </c>
      <c r="M196" s="364">
        <f t="shared" si="61"/>
        <v>534278.49858938181</v>
      </c>
      <c r="N196" s="364">
        <f t="shared" si="61"/>
        <v>523007.61672402878</v>
      </c>
      <c r="O196" s="364">
        <f t="shared" si="61"/>
        <v>511813.37296282855</v>
      </c>
      <c r="P196" s="364">
        <f t="shared" si="61"/>
        <v>500706.54496917041</v>
      </c>
      <c r="Q196" s="364">
        <f t="shared" si="61"/>
        <v>489696.96798543422</v>
      </c>
      <c r="R196" s="364">
        <f t="shared" si="61"/>
        <v>249608.1076343896</v>
      </c>
      <c r="S196" s="364">
        <f t="shared" si="61"/>
        <v>-998557.35392055812</v>
      </c>
      <c r="T196" s="364">
        <f t="shared" si="61"/>
        <v>398325.22562073189</v>
      </c>
      <c r="U196" s="369"/>
      <c r="V196" s="369"/>
      <c r="W196" s="369"/>
      <c r="X196" s="369"/>
      <c r="Y196" s="369"/>
      <c r="Z196" s="369"/>
      <c r="AA196" s="369"/>
      <c r="AB196" s="369"/>
      <c r="AC196" s="369"/>
      <c r="AD196" s="369"/>
    </row>
    <row r="197" spans="1:30" s="26" customFormat="1">
      <c r="A197" s="366" t="s">
        <v>30</v>
      </c>
      <c r="B197" s="111" t="s">
        <v>325</v>
      </c>
      <c r="C197" s="105" t="s">
        <v>0</v>
      </c>
      <c r="D197" s="363">
        <f>D193-D196</f>
        <v>53441404.975323886</v>
      </c>
      <c r="E197" s="364"/>
      <c r="F197" s="364"/>
      <c r="G197" s="364"/>
      <c r="H197" s="364"/>
      <c r="I197" s="364"/>
      <c r="J197" s="364"/>
      <c r="K197" s="364"/>
      <c r="L197" s="364"/>
      <c r="M197" s="364"/>
      <c r="N197" s="364"/>
      <c r="O197" s="364"/>
      <c r="P197" s="364"/>
      <c r="Q197" s="364"/>
      <c r="R197" s="364"/>
      <c r="S197" s="364"/>
      <c r="T197" s="364"/>
      <c r="U197" s="369"/>
      <c r="V197" s="369"/>
      <c r="W197" s="369"/>
      <c r="X197" s="369"/>
      <c r="Y197" s="369"/>
      <c r="Z197" s="369"/>
      <c r="AA197" s="369"/>
      <c r="AB197" s="369"/>
      <c r="AC197" s="369"/>
      <c r="AD197" s="369"/>
    </row>
    <row r="198" spans="1:30" s="26" customFormat="1">
      <c r="A198" s="96" t="s">
        <v>31</v>
      </c>
      <c r="B198" s="111" t="s">
        <v>326</v>
      </c>
      <c r="C198" s="105" t="s">
        <v>1</v>
      </c>
      <c r="D198" s="367">
        <f>IF(D197/D193&lt;=100%,D197/D193,100%)</f>
        <v>0.94840411646090361</v>
      </c>
      <c r="E198" s="364"/>
      <c r="F198" s="364"/>
      <c r="G198" s="364"/>
      <c r="H198" s="364"/>
      <c r="I198" s="364"/>
      <c r="J198" s="364"/>
      <c r="K198" s="364"/>
      <c r="L198" s="364"/>
      <c r="M198" s="364"/>
      <c r="N198" s="364"/>
      <c r="O198" s="364"/>
      <c r="P198" s="364"/>
      <c r="Q198" s="364"/>
      <c r="R198" s="364"/>
      <c r="S198" s="364"/>
      <c r="T198" s="364"/>
      <c r="U198" s="369"/>
      <c r="V198" s="369"/>
      <c r="W198" s="369"/>
      <c r="X198" s="369"/>
      <c r="Y198" s="369"/>
      <c r="Z198" s="369"/>
      <c r="AA198" s="369"/>
      <c r="AB198" s="369"/>
      <c r="AC198" s="369"/>
      <c r="AD198" s="369"/>
    </row>
    <row r="199" spans="1:30" s="32" customFormat="1" ht="12">
      <c r="A199" s="96" t="s">
        <v>327</v>
      </c>
      <c r="B199" s="111" t="s">
        <v>328</v>
      </c>
      <c r="C199" s="105"/>
      <c r="D199" s="360"/>
      <c r="E199" s="361"/>
      <c r="F199" s="361"/>
      <c r="G199" s="361"/>
      <c r="H199" s="361"/>
      <c r="I199" s="361"/>
      <c r="J199" s="361"/>
      <c r="K199" s="361"/>
      <c r="L199" s="361"/>
      <c r="M199" s="361"/>
      <c r="N199" s="361"/>
      <c r="O199" s="361"/>
      <c r="P199" s="361"/>
      <c r="Q199" s="361"/>
      <c r="R199" s="361"/>
      <c r="S199" s="361"/>
      <c r="T199" s="36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</row>
    <row r="200" spans="1:30" s="32" customFormat="1" ht="12">
      <c r="A200" s="96" t="s">
        <v>34</v>
      </c>
      <c r="B200" s="111" t="s">
        <v>329</v>
      </c>
      <c r="C200" s="105" t="s">
        <v>0</v>
      </c>
      <c r="D200" s="363">
        <f>SUM(Opcje!E98:T99)</f>
        <v>76750000</v>
      </c>
      <c r="E200" s="362"/>
      <c r="F200" s="361"/>
      <c r="G200" s="361"/>
      <c r="H200" s="361"/>
      <c r="I200" s="361"/>
      <c r="J200" s="361"/>
      <c r="K200" s="361"/>
      <c r="L200" s="361"/>
      <c r="M200" s="361"/>
      <c r="N200" s="361"/>
      <c r="O200" s="361"/>
      <c r="P200" s="361"/>
      <c r="Q200" s="361"/>
      <c r="R200" s="361"/>
      <c r="S200" s="361"/>
      <c r="T200" s="36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</row>
    <row r="201" spans="1:30" s="26" customFormat="1">
      <c r="A201" s="96" t="s">
        <v>35</v>
      </c>
      <c r="B201" s="111" t="s">
        <v>387</v>
      </c>
      <c r="C201" s="105" t="s">
        <v>0</v>
      </c>
      <c r="D201" s="363">
        <f>ROUND(D200*D198,2)</f>
        <v>72790015.939999998</v>
      </c>
      <c r="E201" s="364"/>
      <c r="F201" s="364"/>
      <c r="G201" s="364"/>
      <c r="H201" s="364"/>
      <c r="I201" s="364"/>
      <c r="J201" s="364"/>
      <c r="K201" s="364"/>
      <c r="L201" s="364"/>
      <c r="M201" s="364"/>
      <c r="N201" s="364"/>
      <c r="O201" s="364"/>
      <c r="P201" s="364"/>
      <c r="Q201" s="364"/>
      <c r="R201" s="364"/>
      <c r="S201" s="364"/>
      <c r="T201" s="364"/>
      <c r="U201" s="369"/>
      <c r="V201" s="369"/>
      <c r="W201" s="369"/>
      <c r="X201" s="369"/>
      <c r="Y201" s="369"/>
      <c r="Z201" s="369"/>
      <c r="AA201" s="369"/>
      <c r="AB201" s="369"/>
      <c r="AC201" s="369"/>
      <c r="AD201" s="369"/>
    </row>
    <row r="202" spans="1:30" s="1" customFormat="1" ht="12">
      <c r="A202" s="96" t="s">
        <v>330</v>
      </c>
      <c r="B202" s="111" t="s">
        <v>331</v>
      </c>
      <c r="C202" s="105"/>
      <c r="D202" s="360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</row>
    <row r="203" spans="1:30" s="26" customFormat="1">
      <c r="A203" s="96"/>
      <c r="B203" s="111" t="s">
        <v>332</v>
      </c>
      <c r="C203" s="105" t="s">
        <v>0</v>
      </c>
      <c r="D203" s="363">
        <f>D201*D204</f>
        <v>61871513.548999995</v>
      </c>
      <c r="E203" s="364"/>
      <c r="F203" s="364"/>
      <c r="G203" s="364"/>
      <c r="H203" s="364"/>
      <c r="I203" s="364"/>
      <c r="J203" s="364"/>
      <c r="K203" s="364"/>
      <c r="L203" s="364"/>
      <c r="M203" s="364"/>
      <c r="N203" s="364"/>
      <c r="O203" s="364"/>
      <c r="P203" s="364"/>
      <c r="Q203" s="364"/>
      <c r="R203" s="364"/>
      <c r="S203" s="364"/>
      <c r="T203" s="364"/>
      <c r="U203" s="369"/>
      <c r="V203" s="369"/>
      <c r="W203" s="369"/>
      <c r="X203" s="369"/>
      <c r="Y203" s="369"/>
      <c r="Z203" s="369"/>
      <c r="AA203" s="369"/>
      <c r="AB203" s="369"/>
      <c r="AC203" s="369"/>
      <c r="AD203" s="369"/>
    </row>
    <row r="204" spans="1:30" s="1" customFormat="1" ht="24" customHeight="1">
      <c r="A204" s="96"/>
      <c r="B204" s="124" t="s">
        <v>391</v>
      </c>
      <c r="C204" s="105" t="s">
        <v>1</v>
      </c>
      <c r="D204" s="367">
        <v>0.85</v>
      </c>
      <c r="E204" s="368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</row>
    <row r="205" spans="1:30" s="1" customFormat="1">
      <c r="A205" s="64"/>
      <c r="B205" s="77"/>
      <c r="C205" s="50"/>
      <c r="D205" s="50"/>
      <c r="E205" s="50"/>
      <c r="F205" s="65"/>
      <c r="G205" s="50"/>
      <c r="H205" s="54"/>
      <c r="I205" s="55"/>
    </row>
    <row r="206" spans="1:30" s="1" customFormat="1">
      <c r="A206" s="64"/>
      <c r="B206" s="77"/>
      <c r="C206" s="50"/>
      <c r="D206" s="50"/>
      <c r="E206" s="50"/>
      <c r="F206" s="65"/>
      <c r="G206" s="50"/>
      <c r="H206" s="54"/>
      <c r="I206" s="55"/>
    </row>
    <row r="207" spans="1:30" s="1" customFormat="1">
      <c r="A207" s="456"/>
      <c r="B207" s="456"/>
      <c r="C207" s="456"/>
      <c r="D207" s="456"/>
      <c r="E207" s="456"/>
      <c r="F207" s="456"/>
      <c r="G207" s="206"/>
      <c r="H207" s="206"/>
      <c r="I207" s="206"/>
    </row>
    <row r="208" spans="1:30" s="1" customFormat="1">
      <c r="A208" s="64"/>
      <c r="B208" s="76"/>
      <c r="C208" s="50"/>
      <c r="D208" s="50"/>
      <c r="E208" s="50"/>
      <c r="F208" s="65"/>
      <c r="G208" s="50"/>
      <c r="H208" s="50"/>
      <c r="I208" s="55"/>
    </row>
    <row r="209" spans="1:22" s="1" customFormat="1">
      <c r="A209" s="64"/>
      <c r="B209" s="76"/>
      <c r="C209" s="50"/>
      <c r="D209" s="50"/>
      <c r="E209" s="50"/>
      <c r="F209" s="65"/>
      <c r="G209" s="50"/>
      <c r="H209" s="54"/>
      <c r="I209" s="55"/>
    </row>
    <row r="210" spans="1:22" s="1" customFormat="1">
      <c r="A210" s="64"/>
      <c r="B210" s="76"/>
      <c r="C210" s="50"/>
      <c r="D210" s="50"/>
      <c r="E210" s="50"/>
      <c r="F210" s="65"/>
      <c r="G210" s="50"/>
      <c r="H210" s="54"/>
      <c r="I210" s="36"/>
    </row>
    <row r="211" spans="1:22" s="1" customFormat="1" ht="13.5" thickBot="1">
      <c r="A211" s="64"/>
      <c r="B211" s="86" t="s">
        <v>239</v>
      </c>
      <c r="C211" s="133" t="s">
        <v>240</v>
      </c>
      <c r="D211" s="133" t="s">
        <v>0</v>
      </c>
      <c r="E211" s="133" t="s">
        <v>241</v>
      </c>
      <c r="F211" s="133">
        <f t="shared" ref="F211:U211" si="62">E5</f>
        <v>2021</v>
      </c>
      <c r="G211" s="133">
        <f t="shared" si="62"/>
        <v>2022</v>
      </c>
      <c r="H211" s="133">
        <f t="shared" si="62"/>
        <v>2023</v>
      </c>
      <c r="I211" s="133">
        <f t="shared" si="62"/>
        <v>2024</v>
      </c>
      <c r="J211" s="133">
        <f t="shared" si="62"/>
        <v>2025</v>
      </c>
      <c r="K211" s="133">
        <f t="shared" si="62"/>
        <v>2026</v>
      </c>
      <c r="L211" s="133">
        <f t="shared" si="62"/>
        <v>2027</v>
      </c>
      <c r="M211" s="133">
        <f t="shared" si="62"/>
        <v>2028</v>
      </c>
      <c r="N211" s="133">
        <f t="shared" si="62"/>
        <v>2029</v>
      </c>
      <c r="O211" s="133">
        <f t="shared" si="62"/>
        <v>2030</v>
      </c>
      <c r="P211" s="133">
        <f t="shared" si="62"/>
        <v>2031</v>
      </c>
      <c r="Q211" s="133">
        <f t="shared" si="62"/>
        <v>2032</v>
      </c>
      <c r="R211" s="133">
        <f t="shared" si="62"/>
        <v>2033</v>
      </c>
      <c r="S211" s="133">
        <f t="shared" si="62"/>
        <v>2034</v>
      </c>
      <c r="T211" s="133">
        <f t="shared" si="62"/>
        <v>2035</v>
      </c>
      <c r="U211" s="133">
        <f t="shared" si="62"/>
        <v>2036</v>
      </c>
    </row>
    <row r="212" spans="1:22" s="1" customFormat="1">
      <c r="A212" s="64"/>
      <c r="B212" s="238" t="s">
        <v>237</v>
      </c>
      <c r="C212" s="248">
        <f>AVERAGE(F213:U213)</f>
        <v>1291.0822867389411</v>
      </c>
      <c r="D212" s="244">
        <f>SUMPRODUCT(F212:U212,F213:U213)/COLUMNS(F212:U212)</f>
        <v>296882.95250838989</v>
      </c>
      <c r="E212" s="246" t="s">
        <v>236</v>
      </c>
      <c r="F212" s="239">
        <f>Założenia!E115</f>
        <v>188.60725391508436</v>
      </c>
      <c r="G212" s="239">
        <f>Założenia!F115</f>
        <v>193.99603259837247</v>
      </c>
      <c r="H212" s="239">
        <f>Założenia!G115</f>
        <v>199.38481128166063</v>
      </c>
      <c r="I212" s="239">
        <f>Założenia!H115</f>
        <v>204.77358996494871</v>
      </c>
      <c r="J212" s="239">
        <f>Założenia!I115</f>
        <v>210.16236864823688</v>
      </c>
      <c r="K212" s="239">
        <f>Założenia!J115</f>
        <v>215.55114733152499</v>
      </c>
      <c r="L212" s="239">
        <f>Założenia!K115</f>
        <v>220.93992601481312</v>
      </c>
      <c r="M212" s="239">
        <f>Założenia!L115</f>
        <v>226.32870469810123</v>
      </c>
      <c r="N212" s="239">
        <f>Założenia!M115</f>
        <v>231.71748338138934</v>
      </c>
      <c r="O212" s="239">
        <f>Założenia!N115</f>
        <v>237.10626206467751</v>
      </c>
      <c r="P212" s="239">
        <f>Założenia!O115</f>
        <v>242.49504074796559</v>
      </c>
      <c r="Q212" s="239">
        <f>Założenia!P115</f>
        <v>247.88381943125376</v>
      </c>
      <c r="R212" s="239">
        <f>Założenia!Q115</f>
        <v>253.27259811454186</v>
      </c>
      <c r="S212" s="239">
        <f>Założenia!R115</f>
        <v>258.66137679782997</v>
      </c>
      <c r="T212" s="239">
        <f>Założenia!S115</f>
        <v>264.05015548111811</v>
      </c>
      <c r="U212" s="240">
        <f>Założenia!T115</f>
        <v>269.43893416440625</v>
      </c>
      <c r="V212" s="50"/>
    </row>
    <row r="213" spans="1:22" s="1" customFormat="1" ht="13.5" thickBot="1">
      <c r="A213" s="64"/>
      <c r="B213" s="241" t="s">
        <v>238</v>
      </c>
      <c r="C213" s="249">
        <f>SUM(F213:U213)</f>
        <v>20657.316587823057</v>
      </c>
      <c r="D213" s="245">
        <f>SUMPRODUCT(F212:U212,F213:U213)</f>
        <v>4750127.2401342383</v>
      </c>
      <c r="E213" s="247" t="s">
        <v>232</v>
      </c>
      <c r="F213" s="242">
        <f t="shared" ref="F213:U213" si="63">E50</f>
        <v>1194.3152</v>
      </c>
      <c r="G213" s="242">
        <f t="shared" si="63"/>
        <v>1195.3021549649416</v>
      </c>
      <c r="H213" s="242">
        <f t="shared" si="63"/>
        <v>1195.3021549649416</v>
      </c>
      <c r="I213" s="242">
        <f t="shared" si="63"/>
        <v>1195.3021549649416</v>
      </c>
      <c r="J213" s="242">
        <f t="shared" si="63"/>
        <v>1195.3021549649416</v>
      </c>
      <c r="K213" s="242">
        <f t="shared" si="63"/>
        <v>1195.3021549649416</v>
      </c>
      <c r="L213" s="242">
        <f t="shared" si="63"/>
        <v>1195.3021549649416</v>
      </c>
      <c r="M213" s="242">
        <f t="shared" si="63"/>
        <v>1472.6305654499388</v>
      </c>
      <c r="N213" s="242">
        <f t="shared" si="63"/>
        <v>1454.5556991397784</v>
      </c>
      <c r="O213" s="242">
        <f t="shared" si="63"/>
        <v>1436.4808328296181</v>
      </c>
      <c r="P213" s="242">
        <f t="shared" si="63"/>
        <v>1403.9460734713291</v>
      </c>
      <c r="Q213" s="242">
        <f t="shared" si="63"/>
        <v>1371.4113141130406</v>
      </c>
      <c r="R213" s="242">
        <f t="shared" si="63"/>
        <v>1338.8765547547516</v>
      </c>
      <c r="S213" s="242">
        <f t="shared" si="63"/>
        <v>1306.3417953964629</v>
      </c>
      <c r="T213" s="242">
        <f t="shared" si="63"/>
        <v>1273.8070360381741</v>
      </c>
      <c r="U213" s="243">
        <f t="shared" si="63"/>
        <v>1233.1385868403131</v>
      </c>
      <c r="V213" s="50"/>
    </row>
    <row r="214" spans="1:22" s="1" customFormat="1" ht="13.5" thickBot="1">
      <c r="A214" s="64"/>
      <c r="B214" s="86" t="s">
        <v>62</v>
      </c>
      <c r="C214" s="133" t="s">
        <v>240</v>
      </c>
      <c r="D214" s="133" t="s">
        <v>0</v>
      </c>
      <c r="E214" s="133" t="s">
        <v>241</v>
      </c>
      <c r="F214" s="133">
        <f>F211</f>
        <v>2021</v>
      </c>
      <c r="G214" s="133">
        <f t="shared" ref="G214:U214" si="64">G211</f>
        <v>2022</v>
      </c>
      <c r="H214" s="133">
        <f t="shared" si="64"/>
        <v>2023</v>
      </c>
      <c r="I214" s="133">
        <f t="shared" si="64"/>
        <v>2024</v>
      </c>
      <c r="J214" s="133">
        <f t="shared" si="64"/>
        <v>2025</v>
      </c>
      <c r="K214" s="133">
        <f t="shared" si="64"/>
        <v>2026</v>
      </c>
      <c r="L214" s="133">
        <f t="shared" si="64"/>
        <v>2027</v>
      </c>
      <c r="M214" s="133">
        <f t="shared" si="64"/>
        <v>2028</v>
      </c>
      <c r="N214" s="133">
        <f t="shared" si="64"/>
        <v>2029</v>
      </c>
      <c r="O214" s="133">
        <f t="shared" si="64"/>
        <v>2030</v>
      </c>
      <c r="P214" s="133">
        <f t="shared" si="64"/>
        <v>2031</v>
      </c>
      <c r="Q214" s="133">
        <f t="shared" si="64"/>
        <v>2032</v>
      </c>
      <c r="R214" s="133">
        <f t="shared" si="64"/>
        <v>2033</v>
      </c>
      <c r="S214" s="133">
        <f t="shared" si="64"/>
        <v>2034</v>
      </c>
      <c r="T214" s="133">
        <f t="shared" si="64"/>
        <v>2035</v>
      </c>
      <c r="U214" s="133">
        <f t="shared" si="64"/>
        <v>2036</v>
      </c>
    </row>
    <row r="215" spans="1:22" s="1" customFormat="1">
      <c r="A215" s="64"/>
      <c r="B215" s="238" t="s">
        <v>237</v>
      </c>
      <c r="C215" s="248">
        <f>AVERAGE(F216:U216)</f>
        <v>1.8651098472284613</v>
      </c>
      <c r="D215" s="244">
        <f>SUMPRODUCT(F215:U215,F216:U216)/COLUMNS(F215:U215)</f>
        <v>189338.85504901921</v>
      </c>
      <c r="E215" s="246" t="s">
        <v>236</v>
      </c>
      <c r="F215" s="239">
        <f>Założenia!E96</f>
        <v>79714.997380463887</v>
      </c>
      <c r="G215" s="239">
        <f>Założenia!F96</f>
        <v>82958.418120835689</v>
      </c>
      <c r="H215" s="239">
        <f>Założenia!G96</f>
        <v>86144.483984369945</v>
      </c>
      <c r="I215" s="239">
        <f>Założenia!H96</f>
        <v>88842.937942354823</v>
      </c>
      <c r="J215" s="239">
        <f>Założenia!I96</f>
        <v>91496.326912005505</v>
      </c>
      <c r="K215" s="239">
        <f>Założenia!J96</f>
        <v>94242.591826311735</v>
      </c>
      <c r="L215" s="239">
        <f>Założenia!K96</f>
        <v>97085.43512192824</v>
      </c>
      <c r="M215" s="239">
        <f>Założenia!L96</f>
        <v>99950.815866672914</v>
      </c>
      <c r="N215" s="239">
        <f>Założenia!M96</f>
        <v>102835.55294881284</v>
      </c>
      <c r="O215" s="239">
        <f>Założenia!N96</f>
        <v>105653.5409111366</v>
      </c>
      <c r="P215" s="239">
        <f>Założenia!O96</f>
        <v>108394.09656067959</v>
      </c>
      <c r="Q215" s="239">
        <f>Założenia!P96</f>
        <v>111135.92484754616</v>
      </c>
      <c r="R215" s="239">
        <f>Założenia!Q96</f>
        <v>113874.42991822689</v>
      </c>
      <c r="S215" s="239">
        <f>Założenia!R96</f>
        <v>116604.68149769701</v>
      </c>
      <c r="T215" s="239">
        <f>Założenia!S96</f>
        <v>119321.35959449633</v>
      </c>
      <c r="U215" s="240">
        <f>Założenia!T96</f>
        <v>122114.40710544567</v>
      </c>
      <c r="V215" s="50"/>
    </row>
    <row r="216" spans="1:22" s="1" customFormat="1" ht="13.5" thickBot="1">
      <c r="A216" s="64"/>
      <c r="B216" s="241" t="s">
        <v>238</v>
      </c>
      <c r="C216" s="249">
        <f>SUM(F216:U216)</f>
        <v>29.841757555655381</v>
      </c>
      <c r="D216" s="245">
        <f>SUMPRODUCT(F215:U215,F216:U216)</f>
        <v>3029421.6807843074</v>
      </c>
      <c r="E216" s="247" t="s">
        <v>232</v>
      </c>
      <c r="F216" s="242">
        <f t="shared" ref="F216:U216" si="65">E61</f>
        <v>1.7825600000000001</v>
      </c>
      <c r="G216" s="242">
        <f t="shared" si="65"/>
        <v>1.7840330671118532</v>
      </c>
      <c r="H216" s="242">
        <f t="shared" si="65"/>
        <v>1.7840330671118532</v>
      </c>
      <c r="I216" s="242">
        <f t="shared" si="65"/>
        <v>1.7840330671118532</v>
      </c>
      <c r="J216" s="242">
        <f t="shared" si="65"/>
        <v>1.7840330671118532</v>
      </c>
      <c r="K216" s="242">
        <f t="shared" si="65"/>
        <v>1.7840330671118532</v>
      </c>
      <c r="L216" s="242">
        <f t="shared" si="65"/>
        <v>1.7840330671118532</v>
      </c>
      <c r="M216" s="242">
        <f t="shared" si="65"/>
        <v>2.0375420532333401</v>
      </c>
      <c r="N216" s="242">
        <f t="shared" si="65"/>
        <v>2.0251967718185191</v>
      </c>
      <c r="O216" s="242">
        <f t="shared" si="65"/>
        <v>2.0128514904036976</v>
      </c>
      <c r="P216" s="242">
        <f t="shared" si="65"/>
        <v>1.9752308696711633</v>
      </c>
      <c r="Q216" s="242">
        <f t="shared" si="65"/>
        <v>1.9376102489386291</v>
      </c>
      <c r="R216" s="242">
        <f t="shared" si="65"/>
        <v>1.8999896282060948</v>
      </c>
      <c r="S216" s="242">
        <f t="shared" si="65"/>
        <v>1.8623690074735606</v>
      </c>
      <c r="T216" s="242">
        <f t="shared" si="65"/>
        <v>1.8247483867410259</v>
      </c>
      <c r="U216" s="243">
        <f t="shared" si="65"/>
        <v>1.7794606964982345</v>
      </c>
      <c r="V216" s="50"/>
    </row>
    <row r="217" spans="1:22" s="1" customFormat="1" ht="13.5" thickBot="1">
      <c r="A217" s="64"/>
      <c r="B217" s="86" t="s">
        <v>123</v>
      </c>
      <c r="C217" s="133" t="s">
        <v>240</v>
      </c>
      <c r="D217" s="133" t="s">
        <v>0</v>
      </c>
      <c r="E217" s="133" t="s">
        <v>241</v>
      </c>
      <c r="F217" s="133">
        <f>F214</f>
        <v>2021</v>
      </c>
      <c r="G217" s="133">
        <f t="shared" ref="G217:U217" si="66">G214</f>
        <v>2022</v>
      </c>
      <c r="H217" s="133">
        <f t="shared" si="66"/>
        <v>2023</v>
      </c>
      <c r="I217" s="133">
        <f t="shared" si="66"/>
        <v>2024</v>
      </c>
      <c r="J217" s="133">
        <f t="shared" si="66"/>
        <v>2025</v>
      </c>
      <c r="K217" s="133">
        <f t="shared" si="66"/>
        <v>2026</v>
      </c>
      <c r="L217" s="133">
        <f t="shared" si="66"/>
        <v>2027</v>
      </c>
      <c r="M217" s="133">
        <f t="shared" si="66"/>
        <v>2028</v>
      </c>
      <c r="N217" s="133">
        <f t="shared" si="66"/>
        <v>2029</v>
      </c>
      <c r="O217" s="133">
        <f t="shared" si="66"/>
        <v>2030</v>
      </c>
      <c r="P217" s="133">
        <f t="shared" si="66"/>
        <v>2031</v>
      </c>
      <c r="Q217" s="133">
        <f t="shared" si="66"/>
        <v>2032</v>
      </c>
      <c r="R217" s="133">
        <f t="shared" si="66"/>
        <v>2033</v>
      </c>
      <c r="S217" s="133">
        <f t="shared" si="66"/>
        <v>2034</v>
      </c>
      <c r="T217" s="133">
        <f t="shared" si="66"/>
        <v>2035</v>
      </c>
      <c r="U217" s="133">
        <f t="shared" si="66"/>
        <v>2036</v>
      </c>
    </row>
    <row r="218" spans="1:22" s="1" customFormat="1">
      <c r="A218" s="64"/>
      <c r="B218" s="238" t="s">
        <v>237</v>
      </c>
      <c r="C218" s="248">
        <f>AVERAGE(F219:U219)</f>
        <v>0.48487461386898678</v>
      </c>
      <c r="D218" s="244">
        <f>SUMPRODUCT(F218:U218,F219:U219)/COLUMNS(F218:U218)</f>
        <v>6016.9038116871461</v>
      </c>
      <c r="E218" s="246" t="s">
        <v>236</v>
      </c>
      <c r="F218" s="239">
        <f>Założenia!E97</f>
        <v>9956.9573920216171</v>
      </c>
      <c r="G218" s="239">
        <f>Założenia!F97</f>
        <v>10362.083192404516</v>
      </c>
      <c r="H218" s="239">
        <f>Założenia!G97</f>
        <v>10760.044969910135</v>
      </c>
      <c r="I218" s="239">
        <f>Założenia!H97</f>
        <v>11097.10063028669</v>
      </c>
      <c r="J218" s="239">
        <f>Założenia!I97</f>
        <v>11428.527360305585</v>
      </c>
      <c r="K218" s="239">
        <f>Założenia!J97</f>
        <v>11771.554941532759</v>
      </c>
      <c r="L218" s="239">
        <f>Założenia!K97</f>
        <v>12126.645834047609</v>
      </c>
      <c r="M218" s="239">
        <f>Założenia!L97</f>
        <v>12484.551810650375</v>
      </c>
      <c r="N218" s="239">
        <f>Założenia!M97</f>
        <v>12844.87552836891</v>
      </c>
      <c r="O218" s="239">
        <f>Założenia!N97</f>
        <v>13196.86181694858</v>
      </c>
      <c r="P218" s="239">
        <f>Założenia!O97</f>
        <v>13539.176271313112</v>
      </c>
      <c r="Q218" s="239">
        <f>Założenia!P97</f>
        <v>13881.649686927383</v>
      </c>
      <c r="R218" s="239">
        <f>Założenia!Q97</f>
        <v>14223.708009735352</v>
      </c>
      <c r="S218" s="239">
        <f>Założenia!R97</f>
        <v>14564.735414108647</v>
      </c>
      <c r="T218" s="239">
        <f>Założenia!S97</f>
        <v>14904.067396126607</v>
      </c>
      <c r="U218" s="240">
        <f>Założenia!T97</f>
        <v>15252.93844893091</v>
      </c>
      <c r="V218" s="50"/>
    </row>
    <row r="219" spans="1:22" s="1" customFormat="1" ht="13.5" thickBot="1">
      <c r="A219" s="64"/>
      <c r="B219" s="241" t="s">
        <v>238</v>
      </c>
      <c r="C219" s="249">
        <f>SUM(F219:U219)</f>
        <v>7.7579938219037885</v>
      </c>
      <c r="D219" s="245">
        <f>SUMPRODUCT(F218:U218,F219:U219)</f>
        <v>96270.460986994338</v>
      </c>
      <c r="E219" s="247" t="s">
        <v>232</v>
      </c>
      <c r="F219" s="242">
        <f t="shared" ref="F219:U219" si="67">E81</f>
        <v>0.57933199999999996</v>
      </c>
      <c r="G219" s="242">
        <f t="shared" si="67"/>
        <v>0.57981074681135236</v>
      </c>
      <c r="H219" s="242">
        <f t="shared" si="67"/>
        <v>0.57981074681135236</v>
      </c>
      <c r="I219" s="242">
        <f t="shared" si="67"/>
        <v>0.57981074681135236</v>
      </c>
      <c r="J219" s="242">
        <f t="shared" si="67"/>
        <v>0.57981074681135236</v>
      </c>
      <c r="K219" s="242">
        <f t="shared" si="67"/>
        <v>0.57981074681135236</v>
      </c>
      <c r="L219" s="242">
        <f t="shared" si="67"/>
        <v>0.57981074681135236</v>
      </c>
      <c r="M219" s="242">
        <f t="shared" si="67"/>
        <v>0.41167456431324329</v>
      </c>
      <c r="N219" s="242">
        <f t="shared" si="67"/>
        <v>0.41160690582163345</v>
      </c>
      <c r="O219" s="242">
        <f t="shared" si="67"/>
        <v>0.41153924733002362</v>
      </c>
      <c r="P219" s="242">
        <f t="shared" si="67"/>
        <v>0.41133868822989456</v>
      </c>
      <c r="Q219" s="242">
        <f t="shared" si="67"/>
        <v>0.41113812912976549</v>
      </c>
      <c r="R219" s="242">
        <f t="shared" si="67"/>
        <v>0.41093757002963638</v>
      </c>
      <c r="S219" s="242">
        <f t="shared" si="67"/>
        <v>0.41073701092950732</v>
      </c>
      <c r="T219" s="242">
        <f t="shared" si="67"/>
        <v>0.41053645182937826</v>
      </c>
      <c r="U219" s="243">
        <f t="shared" si="67"/>
        <v>0.41028877342259235</v>
      </c>
      <c r="V219" s="50"/>
    </row>
    <row r="220" spans="1:22" s="1" customFormat="1" ht="13.5" thickBot="1">
      <c r="A220" s="64"/>
      <c r="B220" s="86" t="s">
        <v>63</v>
      </c>
      <c r="C220" s="133" t="s">
        <v>240</v>
      </c>
      <c r="D220" s="133" t="s">
        <v>0</v>
      </c>
      <c r="E220" s="133" t="s">
        <v>241</v>
      </c>
      <c r="F220" s="133">
        <f>F217</f>
        <v>2021</v>
      </c>
      <c r="G220" s="133">
        <f t="shared" ref="G220:U220" si="68">G217</f>
        <v>2022</v>
      </c>
      <c r="H220" s="133">
        <f t="shared" si="68"/>
        <v>2023</v>
      </c>
      <c r="I220" s="133">
        <f t="shared" si="68"/>
        <v>2024</v>
      </c>
      <c r="J220" s="133">
        <f t="shared" si="68"/>
        <v>2025</v>
      </c>
      <c r="K220" s="133">
        <f t="shared" si="68"/>
        <v>2026</v>
      </c>
      <c r="L220" s="133">
        <f t="shared" si="68"/>
        <v>2027</v>
      </c>
      <c r="M220" s="133">
        <f t="shared" si="68"/>
        <v>2028</v>
      </c>
      <c r="N220" s="133">
        <f t="shared" si="68"/>
        <v>2029</v>
      </c>
      <c r="O220" s="133">
        <f t="shared" si="68"/>
        <v>2030</v>
      </c>
      <c r="P220" s="133">
        <f t="shared" si="68"/>
        <v>2031</v>
      </c>
      <c r="Q220" s="133">
        <f t="shared" si="68"/>
        <v>2032</v>
      </c>
      <c r="R220" s="133">
        <f t="shared" si="68"/>
        <v>2033</v>
      </c>
      <c r="S220" s="133">
        <f t="shared" si="68"/>
        <v>2034</v>
      </c>
      <c r="T220" s="133">
        <f t="shared" si="68"/>
        <v>2035</v>
      </c>
      <c r="U220" s="133">
        <f t="shared" si="68"/>
        <v>2036</v>
      </c>
    </row>
    <row r="221" spans="1:22" s="1" customFormat="1">
      <c r="A221" s="64"/>
      <c r="B221" s="238" t="s">
        <v>237</v>
      </c>
      <c r="C221" s="248">
        <f>AVERAGE(F222:U222)</f>
        <v>4.7539579339187926E-2</v>
      </c>
      <c r="D221" s="244">
        <f>SUMPRODUCT(F221:U221,F222:U222)/COLUMNS(F221:U221)</f>
        <v>79685.785923361502</v>
      </c>
      <c r="E221" s="246" t="s">
        <v>236</v>
      </c>
      <c r="F221" s="239">
        <f>Założenia!E99</f>
        <v>1314075.0889452605</v>
      </c>
      <c r="G221" s="239">
        <f>Założenia!F99</f>
        <v>1367541.795812838</v>
      </c>
      <c r="H221" s="239">
        <f>Założenia!G99</f>
        <v>1420063.0267052737</v>
      </c>
      <c r="I221" s="239">
        <f>Założenia!H99</f>
        <v>1464546.1383075919</v>
      </c>
      <c r="J221" s="239">
        <f>Założenia!I99</f>
        <v>1508286.3686391378</v>
      </c>
      <c r="K221" s="239">
        <f>Założenia!J99</f>
        <v>1553557.6278767206</v>
      </c>
      <c r="L221" s="239">
        <f>Założenia!K99</f>
        <v>1600420.9494511404</v>
      </c>
      <c r="M221" s="239">
        <f>Założenia!L99</f>
        <v>1647655.7933418229</v>
      </c>
      <c r="N221" s="239">
        <f>Założenia!M99</f>
        <v>1695209.7199850639</v>
      </c>
      <c r="O221" s="239">
        <f>Założenia!N99</f>
        <v>1741663.3096974657</v>
      </c>
      <c r="P221" s="239">
        <f>Założenia!O99</f>
        <v>1786840.4536136147</v>
      </c>
      <c r="Q221" s="239">
        <f>Założenia!P99</f>
        <v>1832038.5765306936</v>
      </c>
      <c r="R221" s="239">
        <f>Założenia!Q99</f>
        <v>1877181.9173396558</v>
      </c>
      <c r="S221" s="239">
        <f>Założenia!R99</f>
        <v>1922189.2021045473</v>
      </c>
      <c r="T221" s="239">
        <f>Założenia!S99</f>
        <v>1966972.7325442298</v>
      </c>
      <c r="U221" s="240">
        <f>Założenia!T99</f>
        <v>2013015.1872514868</v>
      </c>
      <c r="V221" s="50"/>
    </row>
    <row r="222" spans="1:22" s="1" customFormat="1" ht="13.5" thickBot="1">
      <c r="A222" s="64"/>
      <c r="B222" s="241" t="s">
        <v>238</v>
      </c>
      <c r="C222" s="249">
        <f>SUM(F222:U222)</f>
        <v>0.76063326942700682</v>
      </c>
      <c r="D222" s="245">
        <f>SUMPRODUCT(F221:U221,F222:U222)</f>
        <v>1274972.574773784</v>
      </c>
      <c r="E222" s="247" t="s">
        <v>232</v>
      </c>
      <c r="F222" s="242">
        <f>E71</f>
        <v>4.4564000000000006E-2</v>
      </c>
      <c r="G222" s="242">
        <f t="shared" ref="G222:U222" si="69">F71</f>
        <v>4.4600826677796329E-2</v>
      </c>
      <c r="H222" s="242">
        <f t="shared" si="69"/>
        <v>4.4600826677796329E-2</v>
      </c>
      <c r="I222" s="242">
        <f t="shared" si="69"/>
        <v>4.4600826677796329E-2</v>
      </c>
      <c r="J222" s="242">
        <f t="shared" si="69"/>
        <v>4.4600826677796329E-2</v>
      </c>
      <c r="K222" s="242">
        <f t="shared" si="69"/>
        <v>4.4600826677796329E-2</v>
      </c>
      <c r="L222" s="242">
        <f t="shared" si="69"/>
        <v>4.4600826677796329E-2</v>
      </c>
      <c r="M222" s="242">
        <f t="shared" si="69"/>
        <v>5.2822279412456548E-2</v>
      </c>
      <c r="N222" s="242">
        <f t="shared" si="69"/>
        <v>5.2486760631579282E-2</v>
      </c>
      <c r="O222" s="242">
        <f t="shared" si="69"/>
        <v>5.2151241850702024E-2</v>
      </c>
      <c r="P222" s="242">
        <f t="shared" si="69"/>
        <v>5.1117627541870464E-2</v>
      </c>
      <c r="Q222" s="242">
        <f t="shared" si="69"/>
        <v>5.008401323303889E-2</v>
      </c>
      <c r="R222" s="242">
        <f t="shared" si="69"/>
        <v>4.9050398924207324E-2</v>
      </c>
      <c r="S222" s="242">
        <f t="shared" si="69"/>
        <v>4.8016784615375757E-2</v>
      </c>
      <c r="T222" s="242">
        <f t="shared" si="69"/>
        <v>4.6983170306544191E-2</v>
      </c>
      <c r="U222" s="243">
        <f t="shared" si="69"/>
        <v>4.5752032844454234E-2</v>
      </c>
      <c r="V222" s="50"/>
    </row>
    <row r="223" spans="1:22" s="1" customFormat="1">
      <c r="A223" s="64"/>
      <c r="B223" s="77"/>
      <c r="C223" s="50"/>
      <c r="D223" s="50"/>
      <c r="E223" s="50"/>
      <c r="F223" s="65"/>
      <c r="G223" s="50"/>
      <c r="H223" s="54"/>
      <c r="I223" s="55"/>
    </row>
    <row r="224" spans="1:22" s="1" customFormat="1">
      <c r="A224" s="64"/>
      <c r="B224" s="77"/>
      <c r="C224" s="50"/>
      <c r="D224" s="50"/>
      <c r="E224" s="50"/>
      <c r="F224" s="65"/>
      <c r="G224" s="50"/>
      <c r="H224" s="54"/>
      <c r="I224" s="55"/>
    </row>
    <row r="225" spans="1:9" s="1" customFormat="1">
      <c r="A225" s="64"/>
      <c r="B225" s="77"/>
      <c r="C225" s="50"/>
      <c r="D225" s="50"/>
      <c r="E225" s="50"/>
      <c r="F225" s="65"/>
      <c r="G225" s="50"/>
      <c r="H225" s="54"/>
      <c r="I225" s="55"/>
    </row>
    <row r="226" spans="1:9" s="1" customFormat="1">
      <c r="A226" s="64"/>
      <c r="B226" s="77"/>
      <c r="C226" s="50"/>
      <c r="D226" s="50"/>
      <c r="E226" s="50"/>
      <c r="F226" s="65"/>
      <c r="G226" s="50"/>
      <c r="H226" s="54"/>
      <c r="I226" s="55"/>
    </row>
    <row r="227" spans="1:9" s="1" customFormat="1">
      <c r="A227" s="64"/>
      <c r="B227" s="77"/>
      <c r="C227" s="50"/>
      <c r="D227" s="50"/>
      <c r="E227" s="50"/>
      <c r="F227" s="65"/>
      <c r="G227" s="50"/>
      <c r="H227" s="54"/>
      <c r="I227" s="55"/>
    </row>
    <row r="228" spans="1:9" s="1" customFormat="1">
      <c r="A228" s="64"/>
      <c r="B228" s="77"/>
      <c r="C228" s="50"/>
      <c r="D228" s="50"/>
      <c r="E228" s="50"/>
      <c r="F228" s="65"/>
      <c r="G228" s="50"/>
      <c r="H228" s="54"/>
      <c r="I228" s="55"/>
    </row>
    <row r="229" spans="1:9" s="1" customFormat="1">
      <c r="A229" s="64"/>
      <c r="B229" s="77"/>
      <c r="C229" s="50"/>
      <c r="D229" s="50"/>
      <c r="E229" s="50"/>
      <c r="F229" s="65"/>
      <c r="G229" s="50"/>
      <c r="H229" s="54"/>
      <c r="I229" s="55"/>
    </row>
    <row r="230" spans="1:9" s="1" customFormat="1">
      <c r="A230" s="64"/>
      <c r="B230" s="77"/>
      <c r="C230" s="50"/>
      <c r="D230" s="50"/>
      <c r="E230" s="50"/>
      <c r="F230" s="65"/>
      <c r="G230" s="50"/>
      <c r="H230" s="54"/>
      <c r="I230" s="55"/>
    </row>
    <row r="231" spans="1:9" s="1" customFormat="1">
      <c r="A231" s="64"/>
      <c r="B231" s="77"/>
      <c r="C231" s="50"/>
      <c r="D231" s="50"/>
      <c r="E231" s="50"/>
      <c r="F231" s="65"/>
      <c r="G231" s="50"/>
      <c r="H231" s="54"/>
      <c r="I231" s="55"/>
    </row>
    <row r="232" spans="1:9" s="1" customFormat="1">
      <c r="A232" s="64"/>
      <c r="B232" s="77"/>
      <c r="C232" s="50"/>
      <c r="D232" s="50"/>
      <c r="E232" s="50"/>
      <c r="F232" s="65"/>
      <c r="G232" s="50"/>
      <c r="H232" s="54"/>
      <c r="I232" s="55"/>
    </row>
    <row r="233" spans="1:9" s="1" customFormat="1">
      <c r="A233" s="82"/>
      <c r="B233" s="56"/>
      <c r="C233" s="56"/>
      <c r="D233" s="56"/>
      <c r="E233" s="56"/>
      <c r="F233" s="56"/>
      <c r="G233" s="56"/>
      <c r="H233" s="56"/>
      <c r="I233" s="56"/>
    </row>
    <row r="234" spans="1:9" s="1" customFormat="1">
      <c r="A234" s="36"/>
      <c r="B234" s="50"/>
      <c r="C234" s="50"/>
      <c r="D234" s="50"/>
      <c r="E234" s="50"/>
      <c r="F234" s="36"/>
      <c r="G234" s="36"/>
      <c r="H234" s="36"/>
      <c r="I234" s="36"/>
    </row>
    <row r="235" spans="1:9" s="1" customFormat="1">
      <c r="A235" s="36"/>
      <c r="B235" s="36"/>
      <c r="C235" s="78"/>
      <c r="D235" s="78"/>
      <c r="E235" s="79"/>
      <c r="F235" s="80"/>
      <c r="G235" s="78"/>
      <c r="H235" s="36"/>
      <c r="I235" s="81"/>
    </row>
    <row r="236" spans="1:9" s="1" customFormat="1" ht="12">
      <c r="A236" s="4"/>
      <c r="B236" s="4"/>
      <c r="C236" s="4"/>
      <c r="D236" s="4"/>
      <c r="E236" s="4"/>
      <c r="F236" s="4"/>
      <c r="G236" s="4"/>
      <c r="H236" s="4"/>
      <c r="I236" s="4"/>
    </row>
    <row r="237" spans="1:9" s="1" customFormat="1" ht="12">
      <c r="A237" s="4"/>
      <c r="B237" s="4"/>
      <c r="C237" s="4"/>
      <c r="D237" s="4"/>
      <c r="E237" s="4"/>
      <c r="F237" s="4"/>
      <c r="G237" s="4"/>
      <c r="H237" s="4"/>
      <c r="I237" s="4"/>
    </row>
    <row r="238" spans="1:9" s="1" customFormat="1" ht="30.75" customHeight="1">
      <c r="A238" s="618"/>
      <c r="B238" s="668"/>
      <c r="C238" s="668"/>
      <c r="D238" s="457"/>
      <c r="E238" s="57"/>
      <c r="F238" s="57"/>
      <c r="G238" s="57"/>
      <c r="H238" s="57"/>
      <c r="I238" s="57"/>
    </row>
    <row r="239" spans="1:9" s="1" customFormat="1">
      <c r="A239" s="68"/>
      <c r="B239" s="68"/>
      <c r="C239" s="68"/>
      <c r="D239" s="68"/>
      <c r="E239" s="68"/>
      <c r="F239" s="68"/>
      <c r="G239" s="69"/>
      <c r="H239" s="69"/>
      <c r="I239" s="615"/>
    </row>
    <row r="240" spans="1:9" s="1" customFormat="1">
      <c r="A240" s="68"/>
      <c r="B240" s="68"/>
      <c r="C240" s="68"/>
      <c r="D240" s="68"/>
      <c r="E240" s="68"/>
      <c r="F240" s="68"/>
      <c r="G240" s="69"/>
      <c r="H240" s="69"/>
      <c r="I240" s="615"/>
    </row>
    <row r="241" spans="1:9" s="1" customFormat="1">
      <c r="A241" s="36"/>
      <c r="B241" s="36"/>
      <c r="C241" s="36"/>
      <c r="D241" s="36"/>
      <c r="E241" s="36"/>
      <c r="F241" s="36"/>
      <c r="G241" s="36"/>
      <c r="H241" s="50"/>
      <c r="I241" s="36"/>
    </row>
    <row r="242" spans="1:9" s="1" customFormat="1">
      <c r="A242" s="36"/>
      <c r="B242" s="36"/>
      <c r="C242" s="36"/>
      <c r="D242" s="36"/>
      <c r="E242" s="36"/>
      <c r="F242" s="36"/>
      <c r="G242" s="58"/>
      <c r="H242" s="70"/>
      <c r="I242" s="50"/>
    </row>
    <row r="243" spans="1:9" s="1" customFormat="1">
      <c r="A243" s="36"/>
      <c r="B243" s="36"/>
      <c r="C243" s="36"/>
      <c r="D243" s="36"/>
      <c r="E243" s="36"/>
      <c r="F243" s="36"/>
      <c r="G243" s="59"/>
      <c r="H243" s="70"/>
      <c r="I243" s="50"/>
    </row>
    <row r="244" spans="1:9" s="1" customFormat="1">
      <c r="A244" s="36"/>
      <c r="B244" s="36"/>
      <c r="C244" s="36"/>
      <c r="D244" s="36"/>
      <c r="E244" s="36"/>
      <c r="F244" s="36"/>
      <c r="G244" s="60"/>
      <c r="H244" s="70"/>
      <c r="I244" s="50"/>
    </row>
    <row r="245" spans="1:9" s="1" customFormat="1">
      <c r="A245" s="36"/>
      <c r="B245" s="36"/>
      <c r="C245" s="36"/>
      <c r="D245" s="36"/>
      <c r="E245" s="36"/>
      <c r="F245" s="36"/>
      <c r="G245" s="60"/>
      <c r="H245" s="70"/>
      <c r="I245" s="50"/>
    </row>
    <row r="246" spans="1:9" s="1" customFormat="1">
      <c r="A246" s="36"/>
      <c r="B246" s="36"/>
      <c r="C246" s="36"/>
      <c r="D246" s="36"/>
      <c r="E246" s="36"/>
      <c r="F246" s="36"/>
      <c r="G246" s="60"/>
      <c r="H246" s="70"/>
      <c r="I246" s="50"/>
    </row>
    <row r="247" spans="1:9" s="1" customFormat="1">
      <c r="A247" s="36"/>
      <c r="B247" s="36"/>
      <c r="C247" s="36"/>
      <c r="D247" s="36"/>
      <c r="E247" s="36"/>
      <c r="F247" s="36"/>
      <c r="G247" s="60"/>
      <c r="H247" s="70"/>
      <c r="I247" s="50"/>
    </row>
    <row r="248" spans="1:9" s="1" customFormat="1">
      <c r="A248" s="36"/>
      <c r="B248" s="36"/>
      <c r="C248" s="36"/>
      <c r="D248" s="36"/>
      <c r="E248" s="36"/>
      <c r="F248" s="36"/>
      <c r="G248" s="36"/>
      <c r="H248" s="36"/>
      <c r="I248" s="36"/>
    </row>
    <row r="249" spans="1:9" s="1" customFormat="1">
      <c r="A249" s="68"/>
      <c r="B249" s="68"/>
      <c r="C249" s="68"/>
      <c r="D249" s="68"/>
      <c r="E249" s="68"/>
      <c r="F249" s="68"/>
      <c r="G249" s="622"/>
      <c r="H249" s="71"/>
      <c r="I249" s="71"/>
    </row>
    <row r="250" spans="1:9" s="1" customFormat="1">
      <c r="A250" s="68"/>
      <c r="B250" s="68"/>
      <c r="C250" s="68"/>
      <c r="D250" s="68"/>
      <c r="E250" s="68"/>
      <c r="F250" s="68"/>
      <c r="G250" s="622"/>
      <c r="H250" s="71"/>
      <c r="I250" s="71"/>
    </row>
    <row r="251" spans="1:9" s="1" customFormat="1">
      <c r="A251" s="61"/>
      <c r="B251" s="36"/>
      <c r="C251" s="62"/>
      <c r="D251" s="62"/>
      <c r="E251" s="62"/>
      <c r="F251" s="36"/>
      <c r="G251" s="62"/>
      <c r="H251" s="72"/>
      <c r="I251" s="50"/>
    </row>
    <row r="252" spans="1:9" s="1" customFormat="1">
      <c r="A252" s="36"/>
      <c r="B252" s="36"/>
      <c r="C252" s="36"/>
      <c r="D252" s="36"/>
      <c r="E252" s="36"/>
      <c r="F252" s="36"/>
      <c r="G252" s="50"/>
      <c r="H252" s="50"/>
      <c r="I252" s="70"/>
    </row>
    <row r="253" spans="1:9" s="1" customFormat="1">
      <c r="A253" s="36"/>
      <c r="B253" s="36"/>
      <c r="C253" s="36"/>
      <c r="D253" s="36"/>
      <c r="E253" s="36"/>
      <c r="F253" s="36"/>
      <c r="G253" s="70"/>
      <c r="H253" s="50"/>
      <c r="I253" s="50"/>
    </row>
    <row r="254" spans="1:9" s="1" customFormat="1">
      <c r="A254" s="36"/>
      <c r="B254" s="36"/>
      <c r="C254" s="36"/>
      <c r="D254" s="36"/>
      <c r="E254" s="36"/>
      <c r="F254" s="36"/>
      <c r="G254" s="47"/>
      <c r="H254" s="50"/>
      <c r="I254" s="50"/>
    </row>
    <row r="255" spans="1:9" s="1" customFormat="1">
      <c r="A255" s="36"/>
      <c r="B255" s="36"/>
      <c r="C255" s="36"/>
      <c r="D255" s="36"/>
      <c r="E255" s="36"/>
      <c r="F255" s="36"/>
      <c r="G255" s="73"/>
      <c r="H255" s="50"/>
      <c r="I255" s="50"/>
    </row>
    <row r="256" spans="1:9" s="1" customFormat="1">
      <c r="A256" s="36"/>
      <c r="B256" s="36"/>
      <c r="C256" s="36"/>
      <c r="D256" s="36"/>
      <c r="E256" s="36"/>
      <c r="F256" s="50"/>
      <c r="G256" s="36"/>
      <c r="H256" s="36"/>
      <c r="I256" s="36"/>
    </row>
    <row r="257" spans="1:9" s="1" customFormat="1">
      <c r="A257" s="63"/>
      <c r="B257" s="36"/>
      <c r="C257" s="36"/>
      <c r="D257" s="36"/>
      <c r="E257" s="36"/>
      <c r="F257" s="50"/>
      <c r="G257" s="36"/>
      <c r="H257" s="36"/>
      <c r="I257" s="36"/>
    </row>
    <row r="258" spans="1:9" s="1" customFormat="1">
      <c r="A258" s="36"/>
      <c r="B258" s="74"/>
      <c r="C258" s="36"/>
      <c r="D258" s="36"/>
      <c r="E258" s="36"/>
      <c r="F258" s="36"/>
      <c r="G258" s="36"/>
      <c r="H258" s="36"/>
      <c r="I258" s="36"/>
    </row>
    <row r="259" spans="1:9" s="1" customFormat="1">
      <c r="A259" s="619"/>
      <c r="B259" s="456"/>
      <c r="C259" s="456"/>
      <c r="D259" s="456"/>
      <c r="E259" s="619"/>
      <c r="F259" s="619"/>
      <c r="G259" s="619"/>
      <c r="H259" s="619"/>
      <c r="I259" s="619"/>
    </row>
    <row r="260" spans="1:9" s="1" customFormat="1">
      <c r="A260" s="619"/>
      <c r="B260" s="456"/>
      <c r="C260" s="456"/>
      <c r="D260" s="456"/>
      <c r="E260" s="456"/>
      <c r="F260" s="456"/>
      <c r="G260" s="620"/>
      <c r="H260" s="620"/>
      <c r="I260" s="620"/>
    </row>
    <row r="261" spans="1:9" s="1" customFormat="1">
      <c r="A261" s="64"/>
      <c r="B261" s="76"/>
      <c r="C261" s="50"/>
      <c r="D261" s="50"/>
      <c r="E261" s="50"/>
      <c r="F261" s="65"/>
      <c r="G261" s="50"/>
      <c r="H261" s="50"/>
      <c r="I261" s="55"/>
    </row>
    <row r="262" spans="1:9" s="1" customFormat="1">
      <c r="A262" s="64"/>
      <c r="B262" s="76"/>
      <c r="C262" s="50"/>
      <c r="D262" s="50"/>
      <c r="E262" s="50"/>
      <c r="F262" s="65"/>
      <c r="G262" s="50"/>
      <c r="H262" s="54"/>
      <c r="I262" s="55"/>
    </row>
    <row r="263" spans="1:9" s="1" customFormat="1">
      <c r="A263" s="64"/>
      <c r="B263" s="76"/>
      <c r="C263" s="50"/>
      <c r="D263" s="50"/>
      <c r="E263" s="50"/>
      <c r="F263" s="65"/>
      <c r="G263" s="50"/>
      <c r="H263" s="54"/>
      <c r="I263" s="36"/>
    </row>
    <row r="264" spans="1:9" s="1" customFormat="1">
      <c r="A264" s="64"/>
      <c r="B264" s="76"/>
      <c r="C264" s="50"/>
      <c r="D264" s="50"/>
      <c r="E264" s="50"/>
      <c r="F264" s="65"/>
      <c r="G264" s="50"/>
      <c r="H264" s="54"/>
      <c r="I264" s="55"/>
    </row>
    <row r="265" spans="1:9" s="1" customFormat="1">
      <c r="A265" s="64"/>
      <c r="B265" s="77"/>
      <c r="C265" s="50"/>
      <c r="D265" s="50"/>
      <c r="E265" s="50"/>
      <c r="F265" s="65"/>
      <c r="G265" s="50"/>
      <c r="H265" s="54"/>
      <c r="I265" s="55"/>
    </row>
    <row r="266" spans="1:9" s="1" customFormat="1">
      <c r="A266" s="64"/>
      <c r="B266" s="77"/>
      <c r="C266" s="50"/>
      <c r="D266" s="50"/>
      <c r="E266" s="50"/>
      <c r="F266" s="65"/>
      <c r="G266" s="50"/>
      <c r="H266" s="54"/>
      <c r="I266" s="55"/>
    </row>
    <row r="267" spans="1:9" s="1" customFormat="1">
      <c r="A267" s="64"/>
      <c r="B267" s="77"/>
      <c r="C267" s="50"/>
      <c r="D267" s="50"/>
      <c r="E267" s="50"/>
      <c r="F267" s="65"/>
      <c r="G267" s="50"/>
      <c r="H267" s="54"/>
      <c r="I267" s="55"/>
    </row>
    <row r="268" spans="1:9" s="1" customFormat="1">
      <c r="A268" s="64"/>
      <c r="B268" s="77"/>
      <c r="C268" s="50"/>
      <c r="D268" s="50"/>
      <c r="E268" s="50"/>
      <c r="F268" s="65"/>
      <c r="G268" s="50"/>
      <c r="H268" s="54"/>
      <c r="I268" s="55"/>
    </row>
    <row r="269" spans="1:9" s="1" customFormat="1">
      <c r="A269" s="64"/>
      <c r="B269" s="77"/>
      <c r="C269" s="50"/>
      <c r="D269" s="50"/>
      <c r="E269" s="50"/>
      <c r="F269" s="65"/>
      <c r="G269" s="50"/>
      <c r="H269" s="54"/>
      <c r="I269" s="55"/>
    </row>
    <row r="270" spans="1:9" s="1" customFormat="1">
      <c r="A270" s="64"/>
      <c r="B270" s="77"/>
      <c r="C270" s="50"/>
      <c r="D270" s="50"/>
      <c r="E270" s="50"/>
      <c r="F270" s="65"/>
      <c r="G270" s="50"/>
      <c r="H270" s="54"/>
      <c r="I270" s="55"/>
    </row>
    <row r="271" spans="1:9" s="1" customFormat="1">
      <c r="A271" s="64"/>
      <c r="B271" s="77"/>
      <c r="C271" s="50"/>
      <c r="D271" s="50"/>
      <c r="E271" s="50"/>
      <c r="F271" s="65"/>
      <c r="G271" s="50"/>
      <c r="H271" s="54"/>
      <c r="I271" s="55"/>
    </row>
    <row r="272" spans="1:9" s="1" customFormat="1">
      <c r="A272" s="64"/>
      <c r="B272" s="77"/>
      <c r="C272" s="50"/>
      <c r="D272" s="50"/>
      <c r="E272" s="50"/>
      <c r="F272" s="65"/>
      <c r="G272" s="50"/>
      <c r="H272" s="54"/>
      <c r="I272" s="55"/>
    </row>
    <row r="273" spans="1:9" s="1" customFormat="1">
      <c r="A273" s="64"/>
      <c r="B273" s="77"/>
      <c r="C273" s="50"/>
      <c r="D273" s="50"/>
      <c r="E273" s="50"/>
      <c r="F273" s="65"/>
      <c r="G273" s="50"/>
      <c r="H273" s="54"/>
      <c r="I273" s="55"/>
    </row>
    <row r="274" spans="1:9" s="1" customFormat="1">
      <c r="A274" s="64"/>
      <c r="B274" s="77"/>
      <c r="C274" s="50"/>
      <c r="D274" s="50"/>
      <c r="E274" s="50"/>
      <c r="F274" s="65"/>
      <c r="G274" s="50"/>
      <c r="H274" s="54"/>
      <c r="I274" s="55"/>
    </row>
    <row r="275" spans="1:9" s="1" customFormat="1">
      <c r="A275" s="64"/>
      <c r="B275" s="77"/>
      <c r="C275" s="50"/>
      <c r="D275" s="50"/>
      <c r="E275" s="50"/>
      <c r="F275" s="65"/>
      <c r="G275" s="50"/>
      <c r="H275" s="54"/>
      <c r="I275" s="55"/>
    </row>
    <row r="276" spans="1:9" s="1" customFormat="1">
      <c r="A276" s="64"/>
      <c r="B276" s="77"/>
      <c r="C276" s="50"/>
      <c r="D276" s="50"/>
      <c r="E276" s="50"/>
      <c r="F276" s="65"/>
      <c r="G276" s="50"/>
      <c r="H276" s="54"/>
      <c r="I276" s="55"/>
    </row>
    <row r="277" spans="1:9" s="1" customFormat="1">
      <c r="A277" s="64"/>
      <c r="B277" s="77"/>
      <c r="C277" s="50"/>
      <c r="D277" s="50"/>
      <c r="E277" s="50"/>
      <c r="F277" s="65"/>
      <c r="G277" s="50"/>
      <c r="H277" s="54"/>
      <c r="I277" s="55"/>
    </row>
    <row r="278" spans="1:9" s="1" customFormat="1">
      <c r="A278" s="64"/>
      <c r="B278" s="77"/>
      <c r="C278" s="50"/>
      <c r="D278" s="50"/>
      <c r="E278" s="50"/>
      <c r="F278" s="65"/>
      <c r="G278" s="50"/>
      <c r="H278" s="54"/>
      <c r="I278" s="55"/>
    </row>
    <row r="279" spans="1:9" s="1" customFormat="1">
      <c r="A279" s="64"/>
      <c r="B279" s="77"/>
      <c r="C279" s="50"/>
      <c r="D279" s="50"/>
      <c r="E279" s="50"/>
      <c r="F279" s="65"/>
      <c r="G279" s="50"/>
      <c r="H279" s="54"/>
      <c r="I279" s="55"/>
    </row>
    <row r="280" spans="1:9" s="1" customFormat="1">
      <c r="A280" s="64"/>
      <c r="B280" s="77"/>
      <c r="C280" s="50"/>
      <c r="D280" s="50"/>
      <c r="E280" s="50"/>
      <c r="F280" s="65"/>
      <c r="G280" s="50"/>
      <c r="H280" s="54"/>
      <c r="I280" s="55"/>
    </row>
    <row r="281" spans="1:9" s="1" customFormat="1">
      <c r="A281" s="64"/>
      <c r="B281" s="77"/>
      <c r="C281" s="50"/>
      <c r="D281" s="50"/>
      <c r="E281" s="50"/>
      <c r="F281" s="65"/>
      <c r="G281" s="50"/>
      <c r="H281" s="54"/>
      <c r="I281" s="55"/>
    </row>
    <row r="282" spans="1:9" s="1" customFormat="1">
      <c r="A282" s="64"/>
      <c r="B282" s="77"/>
      <c r="C282" s="50"/>
      <c r="D282" s="50"/>
      <c r="E282" s="50"/>
      <c r="F282" s="65"/>
      <c r="G282" s="50"/>
      <c r="H282" s="54"/>
      <c r="I282" s="55"/>
    </row>
    <row r="283" spans="1:9" s="1" customFormat="1">
      <c r="A283" s="64"/>
      <c r="B283" s="77"/>
      <c r="C283" s="50"/>
      <c r="D283" s="50"/>
      <c r="E283" s="50"/>
      <c r="F283" s="65"/>
      <c r="G283" s="50"/>
      <c r="H283" s="54"/>
      <c r="I283" s="55"/>
    </row>
    <row r="284" spans="1:9" s="1" customFormat="1">
      <c r="A284" s="64"/>
      <c r="B284" s="77"/>
      <c r="C284" s="50"/>
      <c r="D284" s="50"/>
      <c r="E284" s="50"/>
      <c r="F284" s="65"/>
      <c r="G284" s="50"/>
      <c r="H284" s="54"/>
      <c r="I284" s="55"/>
    </row>
    <row r="285" spans="1:9" s="1" customFormat="1">
      <c r="A285" s="64"/>
      <c r="B285" s="77"/>
      <c r="C285" s="50"/>
      <c r="D285" s="50"/>
      <c r="E285" s="50"/>
      <c r="F285" s="65"/>
      <c r="G285" s="50"/>
      <c r="H285" s="54"/>
      <c r="I285" s="55"/>
    </row>
    <row r="286" spans="1:9" s="1" customFormat="1">
      <c r="A286" s="82"/>
      <c r="B286" s="56"/>
      <c r="C286" s="56"/>
      <c r="D286" s="56"/>
      <c r="E286" s="56"/>
      <c r="F286" s="56"/>
      <c r="G286" s="56"/>
      <c r="H286" s="56"/>
      <c r="I286" s="56"/>
    </row>
    <row r="287" spans="1:9" s="1" customFormat="1">
      <c r="A287" s="36"/>
      <c r="B287" s="50"/>
      <c r="C287" s="50"/>
      <c r="D287" s="50"/>
      <c r="E287" s="50"/>
      <c r="F287" s="36"/>
      <c r="G287" s="36"/>
      <c r="H287" s="36"/>
      <c r="I287" s="36"/>
    </row>
    <row r="288" spans="1:9" s="1" customFormat="1">
      <c r="A288" s="36"/>
      <c r="B288" s="36"/>
      <c r="C288" s="78"/>
      <c r="D288" s="78"/>
      <c r="E288" s="79"/>
      <c r="F288" s="80"/>
      <c r="G288" s="78"/>
      <c r="H288" s="36"/>
      <c r="I288" s="81"/>
    </row>
    <row r="289" spans="1:9" s="1" customFormat="1" ht="12">
      <c r="A289" s="4"/>
      <c r="B289" s="4"/>
      <c r="C289" s="4"/>
      <c r="D289" s="4"/>
      <c r="E289" s="4"/>
      <c r="F289" s="4"/>
      <c r="G289" s="4"/>
      <c r="H289" s="4"/>
      <c r="I289" s="4"/>
    </row>
    <row r="290" spans="1:9" s="1" customFormat="1" ht="20.25">
      <c r="A290" s="66"/>
      <c r="B290" s="67"/>
      <c r="C290" s="4"/>
      <c r="D290" s="4"/>
      <c r="E290" s="4"/>
      <c r="F290" s="4"/>
      <c r="G290" s="57"/>
      <c r="H290" s="57"/>
      <c r="I290" s="57"/>
    </row>
    <row r="291" spans="1:9" s="1" customFormat="1" ht="20.25">
      <c r="A291" s="57"/>
      <c r="B291" s="57"/>
      <c r="C291" s="57"/>
      <c r="D291" s="57"/>
      <c r="E291" s="57"/>
      <c r="F291" s="57"/>
      <c r="G291" s="57"/>
      <c r="H291" s="57"/>
      <c r="I291" s="57"/>
    </row>
    <row r="292" spans="1:9" s="1" customFormat="1" ht="33" customHeight="1">
      <c r="A292" s="618"/>
      <c r="B292" s="668"/>
      <c r="C292" s="668"/>
      <c r="D292" s="457"/>
      <c r="E292" s="57"/>
      <c r="F292" s="57"/>
      <c r="G292" s="57"/>
      <c r="H292" s="57"/>
      <c r="I292" s="57"/>
    </row>
    <row r="293" spans="1:9" s="1" customFormat="1">
      <c r="A293" s="68"/>
      <c r="B293" s="68"/>
      <c r="C293" s="68"/>
      <c r="D293" s="68"/>
      <c r="E293" s="68"/>
      <c r="F293" s="68"/>
      <c r="G293" s="69"/>
      <c r="H293" s="69"/>
      <c r="I293" s="615"/>
    </row>
    <row r="294" spans="1:9" s="1" customFormat="1">
      <c r="A294" s="68"/>
      <c r="B294" s="68"/>
      <c r="C294" s="68"/>
      <c r="D294" s="68"/>
      <c r="E294" s="68"/>
      <c r="F294" s="68"/>
      <c r="G294" s="69"/>
      <c r="H294" s="69"/>
      <c r="I294" s="615"/>
    </row>
    <row r="295" spans="1:9" s="1" customFormat="1">
      <c r="A295" s="36"/>
      <c r="B295" s="36"/>
      <c r="C295" s="36"/>
      <c r="D295" s="36"/>
      <c r="E295" s="36"/>
      <c r="F295" s="36"/>
      <c r="G295" s="36"/>
      <c r="H295" s="50"/>
      <c r="I295" s="36"/>
    </row>
    <row r="296" spans="1:9" s="1" customFormat="1">
      <c r="A296" s="36"/>
      <c r="B296" s="36"/>
      <c r="C296" s="36"/>
      <c r="D296" s="36"/>
      <c r="E296" s="36"/>
      <c r="F296" s="36"/>
      <c r="G296" s="58"/>
      <c r="H296" s="70"/>
      <c r="I296" s="50"/>
    </row>
    <row r="297" spans="1:9" s="1" customFormat="1">
      <c r="A297" s="36"/>
      <c r="B297" s="36"/>
      <c r="C297" s="36"/>
      <c r="D297" s="36"/>
      <c r="E297" s="36"/>
      <c r="F297" s="36"/>
      <c r="G297" s="59"/>
      <c r="H297" s="70"/>
      <c r="I297" s="50"/>
    </row>
    <row r="298" spans="1:9" s="1" customFormat="1">
      <c r="A298" s="36"/>
      <c r="B298" s="36"/>
      <c r="C298" s="36"/>
      <c r="D298" s="36"/>
      <c r="E298" s="36"/>
      <c r="F298" s="36"/>
      <c r="G298" s="60"/>
      <c r="H298" s="70"/>
      <c r="I298" s="50"/>
    </row>
    <row r="299" spans="1:9" s="1" customFormat="1">
      <c r="A299" s="36"/>
      <c r="B299" s="36"/>
      <c r="C299" s="36"/>
      <c r="D299" s="36"/>
      <c r="E299" s="36"/>
      <c r="F299" s="36"/>
      <c r="G299" s="60"/>
      <c r="H299" s="70"/>
      <c r="I299" s="50"/>
    </row>
    <row r="300" spans="1:9" s="1" customFormat="1">
      <c r="A300" s="36"/>
      <c r="B300" s="36"/>
      <c r="C300" s="36"/>
      <c r="D300" s="36"/>
      <c r="E300" s="36"/>
      <c r="F300" s="36"/>
      <c r="G300" s="60"/>
      <c r="H300" s="70"/>
      <c r="I300" s="50"/>
    </row>
    <row r="301" spans="1:9" s="1" customFormat="1">
      <c r="A301" s="36"/>
      <c r="B301" s="36"/>
      <c r="C301" s="36"/>
      <c r="D301" s="36"/>
      <c r="E301" s="36"/>
      <c r="F301" s="36"/>
      <c r="G301" s="60"/>
      <c r="H301" s="70"/>
      <c r="I301" s="50"/>
    </row>
    <row r="302" spans="1:9" s="1" customFormat="1">
      <c r="A302" s="36"/>
      <c r="B302" s="36"/>
      <c r="C302" s="36"/>
      <c r="D302" s="36"/>
      <c r="E302" s="36"/>
      <c r="F302" s="36"/>
      <c r="G302" s="36"/>
      <c r="H302" s="36"/>
      <c r="I302" s="36"/>
    </row>
    <row r="303" spans="1:9" s="1" customFormat="1">
      <c r="A303" s="68"/>
      <c r="B303" s="68"/>
      <c r="C303" s="68"/>
      <c r="D303" s="68"/>
      <c r="E303" s="68"/>
      <c r="F303" s="68"/>
      <c r="G303" s="622"/>
      <c r="H303" s="71"/>
      <c r="I303" s="71"/>
    </row>
    <row r="304" spans="1:9" s="1" customFormat="1">
      <c r="A304" s="68"/>
      <c r="B304" s="68"/>
      <c r="C304" s="68"/>
      <c r="D304" s="68"/>
      <c r="E304" s="68"/>
      <c r="F304" s="68"/>
      <c r="G304" s="622"/>
      <c r="H304" s="71"/>
      <c r="I304" s="71"/>
    </row>
    <row r="305" spans="1:9" s="1" customFormat="1">
      <c r="A305" s="61"/>
      <c r="B305" s="36"/>
      <c r="C305" s="62"/>
      <c r="D305" s="62"/>
      <c r="E305" s="62"/>
      <c r="F305" s="36"/>
      <c r="G305" s="62"/>
      <c r="H305" s="72"/>
      <c r="I305" s="50"/>
    </row>
    <row r="306" spans="1:9" s="1" customFormat="1">
      <c r="A306" s="36"/>
      <c r="B306" s="36"/>
      <c r="C306" s="36"/>
      <c r="D306" s="36"/>
      <c r="E306" s="36"/>
      <c r="F306" s="36"/>
      <c r="G306" s="50"/>
      <c r="H306" s="50"/>
      <c r="I306" s="70"/>
    </row>
    <row r="307" spans="1:9" s="1" customFormat="1">
      <c r="A307" s="36"/>
      <c r="B307" s="36"/>
      <c r="C307" s="36"/>
      <c r="D307" s="36"/>
      <c r="E307" s="36"/>
      <c r="F307" s="36"/>
      <c r="G307" s="70"/>
      <c r="H307" s="50"/>
      <c r="I307" s="50"/>
    </row>
    <row r="308" spans="1:9" s="1" customFormat="1">
      <c r="A308" s="36"/>
      <c r="B308" s="36"/>
      <c r="C308" s="36"/>
      <c r="D308" s="36"/>
      <c r="E308" s="36"/>
      <c r="F308" s="36"/>
      <c r="G308" s="47"/>
      <c r="H308" s="50"/>
      <c r="I308" s="50"/>
    </row>
    <row r="309" spans="1:9" s="1" customFormat="1">
      <c r="A309" s="36"/>
      <c r="B309" s="36"/>
      <c r="C309" s="36"/>
      <c r="D309" s="36"/>
      <c r="E309" s="36"/>
      <c r="F309" s="36"/>
      <c r="G309" s="73"/>
      <c r="H309" s="50"/>
      <c r="I309" s="50"/>
    </row>
    <row r="310" spans="1:9" s="1" customFormat="1">
      <c r="A310" s="36"/>
      <c r="B310" s="36"/>
      <c r="C310" s="36"/>
      <c r="D310" s="36"/>
      <c r="E310" s="36"/>
      <c r="F310" s="50"/>
      <c r="G310" s="36"/>
      <c r="H310" s="36"/>
      <c r="I310" s="36"/>
    </row>
    <row r="311" spans="1:9" s="1" customFormat="1">
      <c r="A311" s="63"/>
      <c r="B311" s="36"/>
      <c r="C311" s="36"/>
      <c r="D311" s="36"/>
      <c r="E311" s="36"/>
      <c r="F311" s="50"/>
      <c r="G311" s="36"/>
      <c r="H311" s="36"/>
      <c r="I311" s="36"/>
    </row>
    <row r="312" spans="1:9" s="1" customFormat="1">
      <c r="A312" s="36"/>
      <c r="B312" s="74"/>
      <c r="C312" s="36"/>
      <c r="D312" s="36"/>
      <c r="E312" s="36"/>
      <c r="F312" s="36"/>
      <c r="G312" s="36"/>
      <c r="H312" s="36"/>
      <c r="I312" s="36"/>
    </row>
    <row r="313" spans="1:9" s="1" customFormat="1">
      <c r="A313" s="619"/>
      <c r="B313" s="456"/>
      <c r="C313" s="456"/>
      <c r="D313" s="456"/>
      <c r="E313" s="619"/>
      <c r="F313" s="619"/>
      <c r="G313" s="619"/>
      <c r="H313" s="619"/>
      <c r="I313" s="619"/>
    </row>
    <row r="314" spans="1:9" s="1" customFormat="1">
      <c r="A314" s="619"/>
      <c r="B314" s="456"/>
      <c r="C314" s="456"/>
      <c r="D314" s="456"/>
      <c r="E314" s="456"/>
      <c r="F314" s="456"/>
      <c r="G314" s="620"/>
      <c r="H314" s="620"/>
      <c r="I314" s="620"/>
    </row>
    <row r="315" spans="1:9" s="1" customFormat="1">
      <c r="A315" s="64"/>
      <c r="B315" s="76"/>
      <c r="C315" s="50"/>
      <c r="D315" s="50"/>
      <c r="E315" s="50"/>
      <c r="F315" s="65"/>
      <c r="G315" s="50"/>
      <c r="H315" s="50"/>
      <c r="I315" s="55"/>
    </row>
    <row r="316" spans="1:9" s="1" customFormat="1">
      <c r="A316" s="64"/>
      <c r="B316" s="76"/>
      <c r="C316" s="50"/>
      <c r="D316" s="50"/>
      <c r="E316" s="50"/>
      <c r="F316" s="65"/>
      <c r="G316" s="50"/>
      <c r="H316" s="54"/>
      <c r="I316" s="55"/>
    </row>
    <row r="317" spans="1:9" s="1" customFormat="1">
      <c r="A317" s="64"/>
      <c r="B317" s="76"/>
      <c r="C317" s="50"/>
      <c r="D317" s="50"/>
      <c r="E317" s="50"/>
      <c r="F317" s="65"/>
      <c r="G317" s="50"/>
      <c r="H317" s="54"/>
      <c r="I317" s="36"/>
    </row>
    <row r="318" spans="1:9" s="1" customFormat="1">
      <c r="A318" s="64"/>
      <c r="B318" s="76"/>
      <c r="C318" s="50"/>
      <c r="D318" s="50"/>
      <c r="E318" s="50"/>
      <c r="F318" s="65"/>
      <c r="G318" s="50"/>
      <c r="H318" s="54"/>
      <c r="I318" s="55"/>
    </row>
    <row r="319" spans="1:9" s="1" customFormat="1">
      <c r="A319" s="64"/>
      <c r="B319" s="77"/>
      <c r="C319" s="50"/>
      <c r="D319" s="50"/>
      <c r="E319" s="50"/>
      <c r="F319" s="65"/>
      <c r="G319" s="50"/>
      <c r="H319" s="54"/>
      <c r="I319" s="55"/>
    </row>
    <row r="320" spans="1:9" s="1" customFormat="1">
      <c r="A320" s="64"/>
      <c r="B320" s="77"/>
      <c r="C320" s="50"/>
      <c r="D320" s="50"/>
      <c r="E320" s="50"/>
      <c r="F320" s="65"/>
      <c r="G320" s="50"/>
      <c r="H320" s="54"/>
      <c r="I320" s="55"/>
    </row>
    <row r="321" spans="1:9" s="1" customFormat="1">
      <c r="A321" s="64"/>
      <c r="B321" s="77"/>
      <c r="C321" s="50"/>
      <c r="D321" s="50"/>
      <c r="E321" s="50"/>
      <c r="F321" s="65"/>
      <c r="G321" s="50"/>
      <c r="H321" s="54"/>
      <c r="I321" s="55"/>
    </row>
    <row r="322" spans="1:9" s="1" customFormat="1">
      <c r="A322" s="64"/>
      <c r="B322" s="77"/>
      <c r="C322" s="50"/>
      <c r="D322" s="50"/>
      <c r="E322" s="50"/>
      <c r="F322" s="65"/>
      <c r="G322" s="50"/>
      <c r="H322" s="54"/>
      <c r="I322" s="55"/>
    </row>
    <row r="323" spans="1:9" s="1" customFormat="1">
      <c r="A323" s="64"/>
      <c r="B323" s="77"/>
      <c r="C323" s="50"/>
      <c r="D323" s="50"/>
      <c r="E323" s="50"/>
      <c r="F323" s="65"/>
      <c r="G323" s="50"/>
      <c r="H323" s="54"/>
      <c r="I323" s="55"/>
    </row>
    <row r="324" spans="1:9" s="1" customFormat="1">
      <c r="A324" s="64"/>
      <c r="B324" s="77"/>
      <c r="C324" s="50"/>
      <c r="D324" s="50"/>
      <c r="E324" s="50"/>
      <c r="F324" s="65"/>
      <c r="G324" s="50"/>
      <c r="H324" s="54"/>
      <c r="I324" s="55"/>
    </row>
    <row r="325" spans="1:9" s="1" customFormat="1">
      <c r="A325" s="64"/>
      <c r="B325" s="77"/>
      <c r="C325" s="50"/>
      <c r="D325" s="50"/>
      <c r="E325" s="50"/>
      <c r="F325" s="65"/>
      <c r="G325" s="50"/>
      <c r="H325" s="54"/>
      <c r="I325" s="55"/>
    </row>
    <row r="326" spans="1:9" s="1" customFormat="1">
      <c r="A326" s="64"/>
      <c r="B326" s="77"/>
      <c r="C326" s="50"/>
      <c r="D326" s="50"/>
      <c r="E326" s="50"/>
      <c r="F326" s="65"/>
      <c r="G326" s="50"/>
      <c r="H326" s="54"/>
      <c r="I326" s="55"/>
    </row>
    <row r="327" spans="1:9" s="1" customFormat="1">
      <c r="A327" s="64"/>
      <c r="B327" s="77"/>
      <c r="C327" s="50"/>
      <c r="D327" s="50"/>
      <c r="E327" s="50"/>
      <c r="F327" s="65"/>
      <c r="G327" s="50"/>
      <c r="H327" s="54"/>
      <c r="I327" s="55"/>
    </row>
    <row r="328" spans="1:9" s="1" customFormat="1">
      <c r="A328" s="64"/>
      <c r="B328" s="77"/>
      <c r="C328" s="50"/>
      <c r="D328" s="50"/>
      <c r="E328" s="50"/>
      <c r="F328" s="65"/>
      <c r="G328" s="50"/>
      <c r="H328" s="54"/>
      <c r="I328" s="55"/>
    </row>
    <row r="329" spans="1:9" s="1" customFormat="1">
      <c r="A329" s="64"/>
      <c r="B329" s="77"/>
      <c r="C329" s="50"/>
      <c r="D329" s="50"/>
      <c r="E329" s="50"/>
      <c r="F329" s="65"/>
      <c r="G329" s="50"/>
      <c r="H329" s="54"/>
      <c r="I329" s="55"/>
    </row>
    <row r="330" spans="1:9" s="1" customFormat="1">
      <c r="A330" s="64"/>
      <c r="B330" s="77"/>
      <c r="C330" s="50"/>
      <c r="D330" s="50"/>
      <c r="E330" s="50"/>
      <c r="F330" s="65"/>
      <c r="G330" s="50"/>
      <c r="H330" s="54"/>
      <c r="I330" s="55"/>
    </row>
    <row r="331" spans="1:9" s="1" customFormat="1">
      <c r="A331" s="64"/>
      <c r="B331" s="77"/>
      <c r="C331" s="50"/>
      <c r="D331" s="50"/>
      <c r="E331" s="50"/>
      <c r="F331" s="65"/>
      <c r="G331" s="50"/>
      <c r="H331" s="54"/>
      <c r="I331" s="55"/>
    </row>
    <row r="332" spans="1:9" s="1" customFormat="1">
      <c r="A332" s="64"/>
      <c r="B332" s="77"/>
      <c r="C332" s="50"/>
      <c r="D332" s="50"/>
      <c r="E332" s="50"/>
      <c r="F332" s="65"/>
      <c r="G332" s="50"/>
      <c r="H332" s="54"/>
      <c r="I332" s="55"/>
    </row>
    <row r="333" spans="1:9" s="1" customFormat="1">
      <c r="A333" s="64"/>
      <c r="B333" s="77"/>
      <c r="C333" s="50"/>
      <c r="D333" s="50"/>
      <c r="E333" s="50"/>
      <c r="F333" s="65"/>
      <c r="G333" s="50"/>
      <c r="H333" s="54"/>
      <c r="I333" s="55"/>
    </row>
    <row r="334" spans="1:9" s="1" customFormat="1">
      <c r="A334" s="64"/>
      <c r="B334" s="77"/>
      <c r="C334" s="50"/>
      <c r="D334" s="50"/>
      <c r="E334" s="50"/>
      <c r="F334" s="65"/>
      <c r="G334" s="50"/>
      <c r="H334" s="54"/>
      <c r="I334" s="55"/>
    </row>
    <row r="335" spans="1:9" s="1" customFormat="1">
      <c r="A335" s="64"/>
      <c r="B335" s="77"/>
      <c r="C335" s="50"/>
      <c r="D335" s="50"/>
      <c r="E335" s="50"/>
      <c r="F335" s="65"/>
      <c r="G335" s="50"/>
      <c r="H335" s="54"/>
      <c r="I335" s="55"/>
    </row>
    <row r="336" spans="1:9" s="1" customFormat="1">
      <c r="A336" s="64"/>
      <c r="B336" s="77"/>
      <c r="C336" s="50"/>
      <c r="D336" s="50"/>
      <c r="E336" s="50"/>
      <c r="F336" s="65"/>
      <c r="G336" s="50"/>
      <c r="H336" s="54"/>
      <c r="I336" s="55"/>
    </row>
    <row r="337" spans="1:9" s="1" customFormat="1">
      <c r="A337" s="64"/>
      <c r="B337" s="77"/>
      <c r="C337" s="50"/>
      <c r="D337" s="50"/>
      <c r="E337" s="50"/>
      <c r="F337" s="65"/>
      <c r="G337" s="50"/>
      <c r="H337" s="54"/>
      <c r="I337" s="55"/>
    </row>
    <row r="338" spans="1:9" s="1" customFormat="1">
      <c r="A338" s="64"/>
      <c r="B338" s="77"/>
      <c r="C338" s="50"/>
      <c r="D338" s="50"/>
      <c r="E338" s="50"/>
      <c r="F338" s="65"/>
      <c r="G338" s="50"/>
      <c r="H338" s="54"/>
      <c r="I338" s="55"/>
    </row>
    <row r="339" spans="1:9" s="1" customFormat="1">
      <c r="A339" s="64"/>
      <c r="B339" s="77"/>
      <c r="C339" s="50"/>
      <c r="D339" s="50"/>
      <c r="E339" s="50"/>
      <c r="F339" s="65"/>
      <c r="G339" s="50"/>
      <c r="H339" s="54"/>
      <c r="I339" s="55"/>
    </row>
    <row r="340" spans="1:9" s="1" customFormat="1">
      <c r="A340" s="82"/>
      <c r="B340" s="56"/>
      <c r="C340" s="56"/>
      <c r="D340" s="56"/>
      <c r="E340" s="56"/>
      <c r="F340" s="56"/>
      <c r="G340" s="56"/>
      <c r="H340" s="56"/>
      <c r="I340" s="56"/>
    </row>
    <row r="341" spans="1:9" s="1" customFormat="1">
      <c r="A341" s="36"/>
      <c r="B341" s="50"/>
      <c r="C341" s="50"/>
      <c r="D341" s="50"/>
      <c r="E341" s="50"/>
      <c r="F341" s="36"/>
      <c r="G341" s="36"/>
      <c r="H341" s="36"/>
      <c r="I341" s="36"/>
    </row>
    <row r="342" spans="1:9" s="1" customFormat="1">
      <c r="A342" s="36"/>
      <c r="B342" s="36"/>
      <c r="C342" s="78"/>
      <c r="D342" s="78"/>
      <c r="E342" s="79"/>
      <c r="F342" s="80"/>
      <c r="G342" s="78"/>
      <c r="H342" s="36"/>
      <c r="I342" s="81"/>
    </row>
    <row r="343" spans="1:9" s="1" customFormat="1" ht="12">
      <c r="A343" s="4"/>
      <c r="B343" s="4"/>
      <c r="C343" s="4"/>
      <c r="D343" s="4"/>
      <c r="E343" s="4"/>
      <c r="F343" s="4"/>
      <c r="G343" s="4"/>
      <c r="H343" s="4"/>
      <c r="I343" s="4"/>
    </row>
    <row r="344" spans="1:9" s="1" customFormat="1" ht="12">
      <c r="A344" s="4"/>
      <c r="B344" s="4"/>
      <c r="C344" s="4"/>
      <c r="D344" s="4"/>
      <c r="E344" s="4"/>
      <c r="F344" s="4"/>
      <c r="G344" s="4"/>
      <c r="H344" s="4"/>
      <c r="I344" s="4"/>
    </row>
    <row r="345" spans="1:9" s="1" customFormat="1" ht="20.25">
      <c r="A345" s="52"/>
      <c r="B345" s="51"/>
      <c r="G345" s="53"/>
      <c r="H345" s="53"/>
      <c r="I345" s="53"/>
    </row>
    <row r="346" spans="1:9" s="1" customFormat="1" ht="20.25">
      <c r="A346" s="53"/>
      <c r="B346" s="53"/>
      <c r="C346" s="53"/>
      <c r="D346" s="53"/>
      <c r="E346" s="53"/>
      <c r="F346" s="53"/>
      <c r="G346" s="53"/>
      <c r="H346" s="53"/>
      <c r="I346" s="53"/>
    </row>
    <row r="347" spans="1:9" s="4" customFormat="1" ht="42.75" customHeight="1">
      <c r="A347" s="618"/>
      <c r="B347" s="668"/>
      <c r="C347" s="668"/>
      <c r="D347" s="457"/>
      <c r="E347" s="57"/>
      <c r="F347" s="57"/>
      <c r="G347" s="57"/>
      <c r="H347" s="57"/>
      <c r="I347" s="57"/>
    </row>
    <row r="348" spans="1:9" s="4" customFormat="1">
      <c r="A348" s="68"/>
      <c r="B348" s="68"/>
      <c r="C348" s="68"/>
      <c r="D348" s="68"/>
      <c r="E348" s="68"/>
      <c r="F348" s="68"/>
      <c r="G348" s="69"/>
      <c r="H348" s="69"/>
      <c r="I348" s="615"/>
    </row>
    <row r="349" spans="1:9" s="4" customFormat="1">
      <c r="A349" s="68"/>
      <c r="B349" s="68"/>
      <c r="C349" s="68"/>
      <c r="D349" s="68"/>
      <c r="E349" s="68"/>
      <c r="F349" s="68"/>
      <c r="G349" s="69"/>
      <c r="H349" s="69"/>
      <c r="I349" s="615"/>
    </row>
    <row r="350" spans="1:9" s="4" customFormat="1">
      <c r="A350" s="36"/>
      <c r="B350" s="36"/>
      <c r="C350" s="36"/>
      <c r="D350" s="36"/>
      <c r="E350" s="36"/>
      <c r="F350" s="36"/>
      <c r="G350" s="36"/>
      <c r="H350" s="50"/>
      <c r="I350" s="36"/>
    </row>
    <row r="351" spans="1:9" s="4" customFormat="1">
      <c r="A351" s="36"/>
      <c r="B351" s="36"/>
      <c r="C351" s="36"/>
      <c r="D351" s="36"/>
      <c r="E351" s="36"/>
      <c r="F351" s="36"/>
      <c r="G351" s="58"/>
      <c r="H351" s="70"/>
      <c r="I351" s="50"/>
    </row>
    <row r="352" spans="1:9" s="4" customFormat="1">
      <c r="A352" s="36"/>
      <c r="B352" s="36"/>
      <c r="C352" s="36"/>
      <c r="D352" s="36"/>
      <c r="E352" s="36"/>
      <c r="F352" s="36"/>
      <c r="G352" s="59"/>
      <c r="H352" s="70"/>
      <c r="I352" s="50"/>
    </row>
    <row r="353" spans="1:9" s="4" customFormat="1">
      <c r="A353" s="36"/>
      <c r="B353" s="36"/>
      <c r="C353" s="36"/>
      <c r="D353" s="36"/>
      <c r="E353" s="36"/>
      <c r="F353" s="36"/>
      <c r="G353" s="60"/>
      <c r="H353" s="70"/>
      <c r="I353" s="50"/>
    </row>
    <row r="354" spans="1:9" s="4" customFormat="1">
      <c r="A354" s="36"/>
      <c r="B354" s="36"/>
      <c r="C354" s="36"/>
      <c r="D354" s="36"/>
      <c r="E354" s="36"/>
      <c r="F354" s="36"/>
      <c r="G354" s="60"/>
      <c r="H354" s="70"/>
      <c r="I354" s="50"/>
    </row>
    <row r="355" spans="1:9" s="4" customFormat="1">
      <c r="A355" s="36"/>
      <c r="B355" s="36"/>
      <c r="C355" s="36"/>
      <c r="D355" s="36"/>
      <c r="E355" s="36"/>
      <c r="F355" s="36"/>
      <c r="G355" s="60"/>
      <c r="H355" s="70"/>
      <c r="I355" s="50"/>
    </row>
    <row r="356" spans="1:9" s="4" customFormat="1">
      <c r="A356" s="36"/>
      <c r="B356" s="36"/>
      <c r="C356" s="36"/>
      <c r="D356" s="36"/>
      <c r="E356" s="36"/>
      <c r="F356" s="36"/>
      <c r="G356" s="60"/>
      <c r="H356" s="70"/>
      <c r="I356" s="50"/>
    </row>
    <row r="357" spans="1:9" s="4" customFormat="1">
      <c r="A357" s="36"/>
      <c r="B357" s="36"/>
      <c r="C357" s="36"/>
      <c r="D357" s="36"/>
      <c r="E357" s="36"/>
      <c r="F357" s="36"/>
      <c r="G357" s="36"/>
      <c r="H357" s="36"/>
      <c r="I357" s="36"/>
    </row>
    <row r="358" spans="1:9" s="4" customFormat="1">
      <c r="A358" s="68"/>
      <c r="B358" s="68"/>
      <c r="C358" s="68"/>
      <c r="D358" s="68"/>
      <c r="E358" s="68"/>
      <c r="F358" s="68"/>
      <c r="G358" s="622"/>
      <c r="H358" s="71"/>
      <c r="I358" s="71"/>
    </row>
    <row r="359" spans="1:9" s="4" customFormat="1">
      <c r="A359" s="68"/>
      <c r="B359" s="68"/>
      <c r="C359" s="68"/>
      <c r="D359" s="68"/>
      <c r="E359" s="68"/>
      <c r="F359" s="68"/>
      <c r="G359" s="622"/>
      <c r="H359" s="71"/>
      <c r="I359" s="71"/>
    </row>
    <row r="360" spans="1:9" s="4" customFormat="1">
      <c r="A360" s="61"/>
      <c r="B360" s="36"/>
      <c r="C360" s="62"/>
      <c r="D360" s="62"/>
      <c r="E360" s="62"/>
      <c r="F360" s="36"/>
      <c r="G360" s="62"/>
      <c r="H360" s="72"/>
      <c r="I360" s="50"/>
    </row>
    <row r="361" spans="1:9" s="4" customFormat="1">
      <c r="A361" s="36"/>
      <c r="B361" s="36"/>
      <c r="C361" s="36"/>
      <c r="D361" s="36"/>
      <c r="E361" s="36"/>
      <c r="F361" s="36"/>
      <c r="G361" s="50"/>
      <c r="H361" s="50"/>
      <c r="I361" s="70"/>
    </row>
    <row r="362" spans="1:9" s="4" customFormat="1">
      <c r="A362" s="36"/>
      <c r="B362" s="36"/>
      <c r="C362" s="36"/>
      <c r="D362" s="36"/>
      <c r="E362" s="36"/>
      <c r="F362" s="36"/>
      <c r="G362" s="70"/>
      <c r="H362" s="50"/>
      <c r="I362" s="50"/>
    </row>
    <row r="363" spans="1:9" s="4" customFormat="1">
      <c r="A363" s="36"/>
      <c r="B363" s="36"/>
      <c r="C363" s="36"/>
      <c r="D363" s="36"/>
      <c r="E363" s="36"/>
      <c r="F363" s="36"/>
      <c r="G363" s="47"/>
      <c r="H363" s="50"/>
      <c r="I363" s="50"/>
    </row>
    <row r="364" spans="1:9" s="4" customFormat="1">
      <c r="A364" s="36"/>
      <c r="B364" s="36"/>
      <c r="C364" s="36"/>
      <c r="D364" s="36"/>
      <c r="E364" s="36"/>
      <c r="F364" s="36"/>
      <c r="G364" s="73"/>
      <c r="H364" s="50"/>
      <c r="I364" s="50"/>
    </row>
    <row r="365" spans="1:9" s="4" customFormat="1">
      <c r="A365" s="36"/>
      <c r="B365" s="36"/>
      <c r="C365" s="36"/>
      <c r="D365" s="36"/>
      <c r="E365" s="36"/>
      <c r="F365" s="50"/>
      <c r="G365" s="36"/>
      <c r="H365" s="36"/>
      <c r="I365" s="36"/>
    </row>
    <row r="366" spans="1:9" s="4" customFormat="1">
      <c r="A366" s="63"/>
      <c r="B366" s="36"/>
      <c r="C366" s="36"/>
      <c r="D366" s="36"/>
      <c r="E366" s="36"/>
      <c r="F366" s="50"/>
      <c r="G366" s="36"/>
      <c r="H366" s="36"/>
      <c r="I366" s="36"/>
    </row>
    <row r="367" spans="1:9" s="4" customFormat="1">
      <c r="A367" s="36"/>
      <c r="B367" s="74"/>
      <c r="C367" s="36"/>
      <c r="D367" s="36"/>
      <c r="E367" s="36"/>
      <c r="F367" s="36"/>
      <c r="G367" s="36"/>
      <c r="H367" s="36"/>
      <c r="I367" s="36"/>
    </row>
    <row r="368" spans="1:9" s="4" customFormat="1">
      <c r="A368" s="619"/>
      <c r="B368" s="456"/>
      <c r="C368" s="456"/>
      <c r="D368" s="456"/>
      <c r="E368" s="619"/>
      <c r="F368" s="619"/>
      <c r="G368" s="619"/>
      <c r="H368" s="619"/>
      <c r="I368" s="619"/>
    </row>
    <row r="369" spans="1:9" s="4" customFormat="1">
      <c r="A369" s="619"/>
      <c r="B369" s="456"/>
      <c r="C369" s="456"/>
      <c r="D369" s="456"/>
      <c r="E369" s="456"/>
      <c r="F369" s="456"/>
      <c r="G369" s="620"/>
      <c r="H369" s="620"/>
      <c r="I369" s="620"/>
    </row>
    <row r="370" spans="1:9" s="4" customFormat="1">
      <c r="A370" s="64"/>
      <c r="B370" s="76"/>
      <c r="C370" s="50"/>
      <c r="D370" s="50"/>
      <c r="E370" s="50"/>
      <c r="F370" s="65"/>
      <c r="G370" s="50"/>
      <c r="H370" s="50"/>
      <c r="I370" s="55"/>
    </row>
    <row r="371" spans="1:9" s="4" customFormat="1">
      <c r="A371" s="64"/>
      <c r="B371" s="76"/>
      <c r="C371" s="50"/>
      <c r="D371" s="50"/>
      <c r="E371" s="50"/>
      <c r="F371" s="65"/>
      <c r="G371" s="50"/>
      <c r="H371" s="54"/>
      <c r="I371" s="55"/>
    </row>
    <row r="372" spans="1:9" s="4" customFormat="1">
      <c r="A372" s="64"/>
      <c r="B372" s="76"/>
      <c r="C372" s="50"/>
      <c r="D372" s="50"/>
      <c r="E372" s="50"/>
      <c r="F372" s="65"/>
      <c r="G372" s="50"/>
      <c r="H372" s="54"/>
      <c r="I372" s="36"/>
    </row>
    <row r="373" spans="1:9" s="4" customFormat="1">
      <c r="A373" s="64"/>
      <c r="B373" s="76"/>
      <c r="C373" s="50"/>
      <c r="D373" s="50"/>
      <c r="E373" s="50"/>
      <c r="F373" s="65"/>
      <c r="G373" s="50"/>
      <c r="H373" s="54"/>
      <c r="I373" s="55"/>
    </row>
    <row r="374" spans="1:9" s="4" customFormat="1">
      <c r="A374" s="64"/>
      <c r="B374" s="77"/>
      <c r="C374" s="50"/>
      <c r="D374" s="50"/>
      <c r="E374" s="50"/>
      <c r="F374" s="65"/>
      <c r="G374" s="50"/>
      <c r="H374" s="54"/>
      <c r="I374" s="55"/>
    </row>
    <row r="375" spans="1:9" s="4" customFormat="1">
      <c r="A375" s="64"/>
      <c r="B375" s="77"/>
      <c r="C375" s="50"/>
      <c r="D375" s="50"/>
      <c r="E375" s="50"/>
      <c r="F375" s="65"/>
      <c r="G375" s="50"/>
      <c r="H375" s="54"/>
      <c r="I375" s="55"/>
    </row>
    <row r="376" spans="1:9" s="4" customFormat="1">
      <c r="A376" s="64"/>
      <c r="B376" s="77"/>
      <c r="C376" s="50"/>
      <c r="D376" s="50"/>
      <c r="E376" s="50"/>
      <c r="F376" s="65"/>
      <c r="G376" s="50"/>
      <c r="H376" s="54"/>
      <c r="I376" s="55"/>
    </row>
    <row r="377" spans="1:9" s="4" customFormat="1">
      <c r="A377" s="64"/>
      <c r="B377" s="77"/>
      <c r="C377" s="50"/>
      <c r="D377" s="50"/>
      <c r="E377" s="50"/>
      <c r="F377" s="65"/>
      <c r="G377" s="50"/>
      <c r="H377" s="54"/>
      <c r="I377" s="55"/>
    </row>
    <row r="378" spans="1:9" s="4" customFormat="1">
      <c r="A378" s="64"/>
      <c r="B378" s="77"/>
      <c r="C378" s="50"/>
      <c r="D378" s="50"/>
      <c r="E378" s="50"/>
      <c r="F378" s="65"/>
      <c r="G378" s="50"/>
      <c r="H378" s="54"/>
      <c r="I378" s="55"/>
    </row>
    <row r="379" spans="1:9" s="4" customFormat="1">
      <c r="A379" s="64"/>
      <c r="B379" s="77"/>
      <c r="C379" s="50"/>
      <c r="D379" s="50"/>
      <c r="E379" s="50"/>
      <c r="F379" s="65"/>
      <c r="G379" s="50"/>
      <c r="H379" s="54"/>
      <c r="I379" s="55"/>
    </row>
    <row r="380" spans="1:9" s="4" customFormat="1">
      <c r="A380" s="64"/>
      <c r="B380" s="77"/>
      <c r="C380" s="50"/>
      <c r="D380" s="50"/>
      <c r="E380" s="50"/>
      <c r="F380" s="65"/>
      <c r="G380" s="50"/>
      <c r="H380" s="54"/>
      <c r="I380" s="55"/>
    </row>
    <row r="381" spans="1:9" s="4" customFormat="1">
      <c r="A381" s="64"/>
      <c r="B381" s="77"/>
      <c r="C381" s="50"/>
      <c r="D381" s="50"/>
      <c r="E381" s="50"/>
      <c r="F381" s="65"/>
      <c r="G381" s="50"/>
      <c r="H381" s="54"/>
      <c r="I381" s="55"/>
    </row>
    <row r="382" spans="1:9" s="4" customFormat="1">
      <c r="A382" s="64"/>
      <c r="B382" s="77"/>
      <c r="C382" s="50"/>
      <c r="D382" s="50"/>
      <c r="E382" s="50"/>
      <c r="F382" s="65"/>
      <c r="G382" s="50"/>
      <c r="H382" s="54"/>
      <c r="I382" s="55"/>
    </row>
    <row r="383" spans="1:9" s="4" customFormat="1">
      <c r="A383" s="64"/>
      <c r="B383" s="77"/>
      <c r="C383" s="50"/>
      <c r="D383" s="50"/>
      <c r="E383" s="50"/>
      <c r="F383" s="65"/>
      <c r="G383" s="50"/>
      <c r="H383" s="54"/>
      <c r="I383" s="55"/>
    </row>
    <row r="384" spans="1:9" s="4" customFormat="1">
      <c r="A384" s="64"/>
      <c r="B384" s="77"/>
      <c r="C384" s="50"/>
      <c r="D384" s="50"/>
      <c r="E384" s="50"/>
      <c r="F384" s="65"/>
      <c r="G384" s="50"/>
      <c r="H384" s="54"/>
      <c r="I384" s="55"/>
    </row>
    <row r="385" spans="1:9" s="4" customFormat="1">
      <c r="A385" s="64"/>
      <c r="B385" s="77"/>
      <c r="C385" s="50"/>
      <c r="D385" s="50"/>
      <c r="E385" s="50"/>
      <c r="F385" s="65"/>
      <c r="G385" s="50"/>
      <c r="H385" s="54"/>
      <c r="I385" s="55"/>
    </row>
    <row r="386" spans="1:9" s="4" customFormat="1">
      <c r="A386" s="64"/>
      <c r="B386" s="77"/>
      <c r="C386" s="50"/>
      <c r="D386" s="50"/>
      <c r="E386" s="50"/>
      <c r="F386" s="65"/>
      <c r="G386" s="50"/>
      <c r="H386" s="54"/>
      <c r="I386" s="55"/>
    </row>
    <row r="387" spans="1:9" s="4" customFormat="1">
      <c r="A387" s="64"/>
      <c r="B387" s="77"/>
      <c r="C387" s="50"/>
      <c r="D387" s="50"/>
      <c r="E387" s="50"/>
      <c r="F387" s="65"/>
      <c r="G387" s="50"/>
      <c r="H387" s="54"/>
      <c r="I387" s="55"/>
    </row>
    <row r="388" spans="1:9" s="4" customFormat="1">
      <c r="A388" s="64"/>
      <c r="B388" s="77"/>
      <c r="C388" s="50"/>
      <c r="D388" s="50"/>
      <c r="E388" s="50"/>
      <c r="F388" s="65"/>
      <c r="G388" s="50"/>
      <c r="H388" s="54"/>
      <c r="I388" s="55"/>
    </row>
    <row r="389" spans="1:9" s="4" customFormat="1">
      <c r="A389" s="64"/>
      <c r="B389" s="77"/>
      <c r="C389" s="50"/>
      <c r="D389" s="50"/>
      <c r="E389" s="50"/>
      <c r="F389" s="65"/>
      <c r="G389" s="50"/>
      <c r="H389" s="54"/>
      <c r="I389" s="55"/>
    </row>
    <row r="390" spans="1:9" s="4" customFormat="1">
      <c r="A390" s="64"/>
      <c r="B390" s="77"/>
      <c r="C390" s="50"/>
      <c r="D390" s="50"/>
      <c r="E390" s="50"/>
      <c r="F390" s="65"/>
      <c r="G390" s="50"/>
      <c r="H390" s="54"/>
      <c r="I390" s="55"/>
    </row>
    <row r="391" spans="1:9" s="4" customFormat="1">
      <c r="A391" s="64"/>
      <c r="B391" s="77"/>
      <c r="C391" s="50"/>
      <c r="D391" s="50"/>
      <c r="E391" s="50"/>
      <c r="F391" s="65"/>
      <c r="G391" s="50"/>
      <c r="H391" s="54"/>
      <c r="I391" s="55"/>
    </row>
    <row r="392" spans="1:9" s="4" customFormat="1">
      <c r="A392" s="64"/>
      <c r="B392" s="77"/>
      <c r="C392" s="50"/>
      <c r="D392" s="50"/>
      <c r="E392" s="50"/>
      <c r="F392" s="65"/>
      <c r="G392" s="50"/>
      <c r="H392" s="54"/>
      <c r="I392" s="55"/>
    </row>
    <row r="393" spans="1:9" s="4" customFormat="1">
      <c r="A393" s="64"/>
      <c r="B393" s="77"/>
      <c r="C393" s="50"/>
      <c r="D393" s="50"/>
      <c r="E393" s="50"/>
      <c r="F393" s="65"/>
      <c r="G393" s="50"/>
      <c r="H393" s="54"/>
      <c r="I393" s="55"/>
    </row>
    <row r="394" spans="1:9" s="4" customFormat="1">
      <c r="A394" s="64"/>
      <c r="B394" s="77"/>
      <c r="C394" s="50"/>
      <c r="D394" s="50"/>
      <c r="E394" s="50"/>
      <c r="F394" s="65"/>
      <c r="G394" s="50"/>
      <c r="H394" s="54"/>
      <c r="I394" s="55"/>
    </row>
    <row r="395" spans="1:9" s="4" customFormat="1">
      <c r="A395" s="82"/>
      <c r="B395" s="56"/>
      <c r="C395" s="56"/>
      <c r="D395" s="56"/>
      <c r="E395" s="56"/>
      <c r="F395" s="56"/>
      <c r="G395" s="56"/>
      <c r="H395" s="56"/>
      <c r="I395" s="56"/>
    </row>
    <row r="396" spans="1:9" s="4" customFormat="1">
      <c r="A396" s="36"/>
      <c r="B396" s="50"/>
      <c r="C396" s="50"/>
      <c r="D396" s="50"/>
      <c r="E396" s="50"/>
      <c r="F396" s="36"/>
      <c r="G396" s="36"/>
      <c r="H396" s="36"/>
      <c r="I396" s="36"/>
    </row>
    <row r="397" spans="1:9" s="4" customFormat="1">
      <c r="A397" s="36"/>
      <c r="B397" s="36"/>
      <c r="C397" s="78"/>
      <c r="D397" s="78"/>
      <c r="E397" s="79"/>
      <c r="F397" s="80"/>
      <c r="G397" s="78"/>
      <c r="H397" s="36"/>
      <c r="I397" s="81"/>
    </row>
    <row r="398" spans="1:9" s="4" customFormat="1" ht="12"/>
    <row r="399" spans="1:9" s="4" customFormat="1" ht="20.25">
      <c r="A399" s="66"/>
      <c r="B399" s="67"/>
      <c r="G399" s="57"/>
      <c r="H399" s="57"/>
      <c r="I399" s="57"/>
    </row>
    <row r="400" spans="1:9" s="4" customFormat="1" ht="41.25" customHeight="1">
      <c r="A400" s="618"/>
      <c r="B400" s="668"/>
      <c r="C400" s="668"/>
      <c r="D400" s="457"/>
      <c r="E400" s="57"/>
      <c r="F400" s="57"/>
      <c r="G400" s="57"/>
      <c r="H400" s="57"/>
      <c r="I400" s="57"/>
    </row>
    <row r="401" spans="1:9" s="4" customFormat="1">
      <c r="A401" s="68"/>
      <c r="B401" s="68"/>
      <c r="C401" s="68"/>
      <c r="D401" s="68"/>
      <c r="E401" s="68"/>
      <c r="F401" s="68"/>
      <c r="G401" s="69"/>
      <c r="H401" s="69"/>
      <c r="I401" s="615"/>
    </row>
    <row r="402" spans="1:9" s="4" customFormat="1">
      <c r="A402" s="68"/>
      <c r="B402" s="68"/>
      <c r="C402" s="68"/>
      <c r="D402" s="68"/>
      <c r="E402" s="68"/>
      <c r="F402" s="68"/>
      <c r="G402" s="69"/>
      <c r="H402" s="69"/>
      <c r="I402" s="615"/>
    </row>
    <row r="403" spans="1:9" s="4" customFormat="1">
      <c r="A403" s="36"/>
      <c r="B403" s="36"/>
      <c r="C403" s="36"/>
      <c r="D403" s="36"/>
      <c r="E403" s="36"/>
      <c r="F403" s="36"/>
      <c r="G403" s="36"/>
      <c r="H403" s="50"/>
      <c r="I403" s="36"/>
    </row>
    <row r="404" spans="1:9" s="4" customFormat="1">
      <c r="A404" s="36"/>
      <c r="B404" s="36"/>
      <c r="C404" s="36"/>
      <c r="D404" s="36"/>
      <c r="E404" s="36"/>
      <c r="F404" s="36"/>
      <c r="G404" s="59"/>
      <c r="H404" s="70"/>
      <c r="I404" s="50"/>
    </row>
    <row r="405" spans="1:9" s="4" customFormat="1">
      <c r="A405" s="36"/>
      <c r="B405" s="36"/>
      <c r="C405" s="36"/>
      <c r="D405" s="36"/>
      <c r="E405" s="36"/>
      <c r="F405" s="36"/>
      <c r="G405" s="59"/>
      <c r="H405" s="70"/>
      <c r="I405" s="50"/>
    </row>
    <row r="406" spans="1:9" s="4" customFormat="1">
      <c r="A406" s="36"/>
      <c r="B406" s="36"/>
      <c r="C406" s="36"/>
      <c r="D406" s="36"/>
      <c r="E406" s="36"/>
      <c r="F406" s="36"/>
      <c r="G406" s="60"/>
      <c r="H406" s="70"/>
      <c r="I406" s="50"/>
    </row>
    <row r="407" spans="1:9" s="4" customFormat="1">
      <c r="A407" s="36"/>
      <c r="B407" s="36"/>
      <c r="C407" s="36"/>
      <c r="D407" s="36"/>
      <c r="E407" s="36"/>
      <c r="F407" s="36"/>
      <c r="G407" s="60"/>
      <c r="H407" s="70"/>
      <c r="I407" s="50"/>
    </row>
    <row r="408" spans="1:9" s="4" customFormat="1">
      <c r="A408" s="36"/>
      <c r="B408" s="36"/>
      <c r="C408" s="36"/>
      <c r="D408" s="36"/>
      <c r="E408" s="36"/>
      <c r="F408" s="36"/>
      <c r="G408" s="60"/>
      <c r="H408" s="70"/>
      <c r="I408" s="50"/>
    </row>
    <row r="409" spans="1:9" s="4" customFormat="1">
      <c r="A409" s="36"/>
      <c r="B409" s="36"/>
      <c r="C409" s="36"/>
      <c r="D409" s="36"/>
      <c r="E409" s="36"/>
      <c r="F409" s="36"/>
      <c r="G409" s="60"/>
      <c r="H409" s="70"/>
      <c r="I409" s="50"/>
    </row>
    <row r="410" spans="1:9" s="4" customFormat="1">
      <c r="A410" s="36"/>
      <c r="B410" s="36"/>
      <c r="C410" s="36"/>
      <c r="D410" s="36"/>
      <c r="E410" s="36"/>
      <c r="F410" s="36"/>
      <c r="G410" s="36"/>
      <c r="H410" s="36"/>
      <c r="I410" s="36"/>
    </row>
    <row r="411" spans="1:9" s="4" customFormat="1">
      <c r="A411" s="68"/>
      <c r="B411" s="68"/>
      <c r="C411" s="68"/>
      <c r="D411" s="68"/>
      <c r="E411" s="68"/>
      <c r="F411" s="68"/>
      <c r="G411" s="622"/>
      <c r="H411" s="71"/>
      <c r="I411" s="71"/>
    </row>
    <row r="412" spans="1:9" s="4" customFormat="1">
      <c r="A412" s="68"/>
      <c r="B412" s="68"/>
      <c r="C412" s="68"/>
      <c r="D412" s="68"/>
      <c r="E412" s="68"/>
      <c r="F412" s="68"/>
      <c r="G412" s="622"/>
      <c r="H412" s="71"/>
      <c r="I412" s="71"/>
    </row>
    <row r="413" spans="1:9" s="4" customFormat="1">
      <c r="A413" s="61"/>
      <c r="B413" s="36"/>
      <c r="C413" s="62"/>
      <c r="D413" s="62"/>
      <c r="E413" s="62"/>
      <c r="F413" s="36"/>
      <c r="G413" s="62"/>
      <c r="H413" s="72"/>
      <c r="I413" s="50"/>
    </row>
    <row r="414" spans="1:9" s="4" customFormat="1">
      <c r="A414" s="36"/>
      <c r="B414" s="36"/>
      <c r="C414" s="36"/>
      <c r="D414" s="36"/>
      <c r="E414" s="36"/>
      <c r="F414" s="36"/>
      <c r="G414" s="50"/>
      <c r="H414" s="50"/>
      <c r="I414" s="70"/>
    </row>
    <row r="415" spans="1:9" s="4" customFormat="1">
      <c r="A415" s="36"/>
      <c r="B415" s="36"/>
      <c r="C415" s="36"/>
      <c r="D415" s="36"/>
      <c r="E415" s="36"/>
      <c r="F415" s="36"/>
      <c r="G415" s="70"/>
      <c r="H415" s="50"/>
      <c r="I415" s="50"/>
    </row>
    <row r="416" spans="1:9" s="4" customFormat="1">
      <c r="A416" s="36"/>
      <c r="B416" s="36"/>
      <c r="C416" s="36"/>
      <c r="D416" s="36"/>
      <c r="E416" s="36"/>
      <c r="F416" s="36"/>
      <c r="G416" s="47"/>
      <c r="H416" s="50"/>
      <c r="I416" s="50"/>
    </row>
    <row r="417" spans="1:9" s="4" customFormat="1">
      <c r="A417" s="36"/>
      <c r="B417" s="36"/>
      <c r="C417" s="36"/>
      <c r="D417" s="36"/>
      <c r="E417" s="36"/>
      <c r="F417" s="36"/>
      <c r="G417" s="73"/>
      <c r="H417" s="50"/>
      <c r="I417" s="50"/>
    </row>
    <row r="418" spans="1:9" s="4" customFormat="1">
      <c r="A418" s="36"/>
      <c r="B418" s="36"/>
      <c r="C418" s="36"/>
      <c r="D418" s="36"/>
      <c r="E418" s="36"/>
      <c r="F418" s="50"/>
      <c r="G418" s="36"/>
      <c r="H418" s="36"/>
      <c r="I418" s="36"/>
    </row>
    <row r="419" spans="1:9" s="4" customFormat="1">
      <c r="A419" s="63"/>
      <c r="B419" s="36"/>
      <c r="C419" s="36"/>
      <c r="D419" s="36"/>
      <c r="E419" s="36"/>
      <c r="F419" s="50"/>
      <c r="G419" s="36"/>
      <c r="H419" s="36"/>
      <c r="I419" s="36"/>
    </row>
    <row r="420" spans="1:9" s="4" customFormat="1">
      <c r="A420" s="36"/>
      <c r="B420" s="74"/>
      <c r="C420" s="36"/>
      <c r="D420" s="36"/>
      <c r="E420" s="36"/>
      <c r="F420" s="36"/>
      <c r="G420" s="36"/>
      <c r="H420" s="36"/>
      <c r="I420" s="36"/>
    </row>
    <row r="421" spans="1:9" s="4" customFormat="1">
      <c r="A421" s="619"/>
      <c r="B421" s="456"/>
      <c r="C421" s="456"/>
      <c r="D421" s="456"/>
      <c r="E421" s="619"/>
      <c r="F421" s="619"/>
      <c r="G421" s="619"/>
      <c r="H421" s="619"/>
      <c r="I421" s="619"/>
    </row>
    <row r="422" spans="1:9" s="4" customFormat="1">
      <c r="A422" s="619"/>
      <c r="B422" s="456"/>
      <c r="C422" s="456"/>
      <c r="D422" s="456"/>
      <c r="E422" s="456"/>
      <c r="F422" s="456"/>
      <c r="G422" s="620"/>
      <c r="H422" s="620"/>
      <c r="I422" s="620"/>
    </row>
    <row r="423" spans="1:9" s="4" customFormat="1">
      <c r="A423" s="64"/>
      <c r="B423" s="76"/>
      <c r="C423" s="50"/>
      <c r="D423" s="50"/>
      <c r="E423" s="50"/>
      <c r="F423" s="65"/>
      <c r="G423" s="50"/>
      <c r="H423" s="50"/>
      <c r="I423" s="55"/>
    </row>
    <row r="424" spans="1:9" s="4" customFormat="1">
      <c r="A424" s="64"/>
      <c r="B424" s="76"/>
      <c r="C424" s="50"/>
      <c r="D424" s="50"/>
      <c r="E424" s="50"/>
      <c r="F424" s="65"/>
      <c r="G424" s="50"/>
      <c r="H424" s="54"/>
      <c r="I424" s="55"/>
    </row>
    <row r="425" spans="1:9" s="4" customFormat="1">
      <c r="A425" s="64"/>
      <c r="B425" s="76"/>
      <c r="C425" s="50"/>
      <c r="D425" s="50"/>
      <c r="E425" s="50"/>
      <c r="F425" s="65"/>
      <c r="G425" s="50"/>
      <c r="H425" s="54"/>
      <c r="I425" s="36"/>
    </row>
    <row r="426" spans="1:9" s="4" customFormat="1">
      <c r="A426" s="64"/>
      <c r="B426" s="76"/>
      <c r="C426" s="50"/>
      <c r="D426" s="50"/>
      <c r="E426" s="50"/>
      <c r="F426" s="65"/>
      <c r="G426" s="50"/>
      <c r="H426" s="54"/>
      <c r="I426" s="55"/>
    </row>
    <row r="427" spans="1:9" s="4" customFormat="1">
      <c r="A427" s="64"/>
      <c r="B427" s="77"/>
      <c r="C427" s="50"/>
      <c r="D427" s="50"/>
      <c r="E427" s="50"/>
      <c r="F427" s="65"/>
      <c r="G427" s="50"/>
      <c r="H427" s="54"/>
      <c r="I427" s="55"/>
    </row>
    <row r="428" spans="1:9" s="4" customFormat="1">
      <c r="A428" s="64"/>
      <c r="B428" s="77"/>
      <c r="C428" s="50"/>
      <c r="D428" s="50"/>
      <c r="E428" s="50"/>
      <c r="F428" s="65"/>
      <c r="G428" s="50"/>
      <c r="H428" s="54"/>
      <c r="I428" s="55"/>
    </row>
    <row r="429" spans="1:9" s="4" customFormat="1">
      <c r="A429" s="64"/>
      <c r="B429" s="77"/>
      <c r="C429" s="50"/>
      <c r="D429" s="50"/>
      <c r="E429" s="50"/>
      <c r="F429" s="65"/>
      <c r="G429" s="50"/>
      <c r="H429" s="54"/>
      <c r="I429" s="55"/>
    </row>
    <row r="430" spans="1:9" s="4" customFormat="1">
      <c r="A430" s="64"/>
      <c r="B430" s="77"/>
      <c r="C430" s="50"/>
      <c r="D430" s="50"/>
      <c r="E430" s="50"/>
      <c r="F430" s="65"/>
      <c r="G430" s="50"/>
      <c r="H430" s="54"/>
      <c r="I430" s="55"/>
    </row>
    <row r="431" spans="1:9" s="4" customFormat="1">
      <c r="A431" s="64"/>
      <c r="B431" s="77"/>
      <c r="C431" s="50"/>
      <c r="D431" s="50"/>
      <c r="E431" s="50"/>
      <c r="F431" s="65"/>
      <c r="G431" s="50"/>
      <c r="H431" s="54"/>
      <c r="I431" s="55"/>
    </row>
    <row r="432" spans="1:9" s="4" customFormat="1">
      <c r="A432" s="64"/>
      <c r="B432" s="77"/>
      <c r="C432" s="50"/>
      <c r="D432" s="50"/>
      <c r="E432" s="50"/>
      <c r="F432" s="65"/>
      <c r="G432" s="50"/>
      <c r="H432" s="54"/>
      <c r="I432" s="55"/>
    </row>
    <row r="433" spans="1:9" s="4" customFormat="1">
      <c r="A433" s="64"/>
      <c r="B433" s="77"/>
      <c r="C433" s="50"/>
      <c r="D433" s="50"/>
      <c r="E433" s="50"/>
      <c r="F433" s="65"/>
      <c r="G433" s="50"/>
      <c r="H433" s="54"/>
      <c r="I433" s="55"/>
    </row>
    <row r="434" spans="1:9" s="4" customFormat="1">
      <c r="A434" s="64"/>
      <c r="B434" s="77"/>
      <c r="C434" s="50"/>
      <c r="D434" s="50"/>
      <c r="E434" s="50"/>
      <c r="F434" s="65"/>
      <c r="G434" s="50"/>
      <c r="H434" s="54"/>
      <c r="I434" s="55"/>
    </row>
    <row r="435" spans="1:9" s="4" customFormat="1">
      <c r="A435" s="64"/>
      <c r="B435" s="77"/>
      <c r="C435" s="50"/>
      <c r="D435" s="50"/>
      <c r="E435" s="50"/>
      <c r="F435" s="65"/>
      <c r="G435" s="50"/>
      <c r="H435" s="54"/>
      <c r="I435" s="55"/>
    </row>
    <row r="436" spans="1:9" s="4" customFormat="1">
      <c r="A436" s="64"/>
      <c r="B436" s="77"/>
      <c r="C436" s="50"/>
      <c r="D436" s="50"/>
      <c r="E436" s="50"/>
      <c r="F436" s="65"/>
      <c r="G436" s="50"/>
      <c r="H436" s="54"/>
      <c r="I436" s="55"/>
    </row>
    <row r="437" spans="1:9" s="4" customFormat="1">
      <c r="A437" s="64"/>
      <c r="B437" s="77"/>
      <c r="C437" s="50"/>
      <c r="D437" s="50"/>
      <c r="E437" s="50"/>
      <c r="F437" s="65"/>
      <c r="G437" s="50"/>
      <c r="H437" s="54"/>
      <c r="I437" s="55"/>
    </row>
    <row r="438" spans="1:9" s="4" customFormat="1">
      <c r="A438" s="64"/>
      <c r="B438" s="77"/>
      <c r="C438" s="50"/>
      <c r="D438" s="50"/>
      <c r="E438" s="50"/>
      <c r="F438" s="65"/>
      <c r="G438" s="50"/>
      <c r="H438" s="54"/>
      <c r="I438" s="55"/>
    </row>
    <row r="439" spans="1:9" s="4" customFormat="1">
      <c r="A439" s="64"/>
      <c r="B439" s="77"/>
      <c r="C439" s="50"/>
      <c r="D439" s="50"/>
      <c r="E439" s="50"/>
      <c r="F439" s="65"/>
      <c r="G439" s="50"/>
      <c r="H439" s="54"/>
      <c r="I439" s="55"/>
    </row>
    <row r="440" spans="1:9" s="4" customFormat="1">
      <c r="A440" s="64"/>
      <c r="B440" s="77"/>
      <c r="C440" s="50"/>
      <c r="D440" s="50"/>
      <c r="E440" s="50"/>
      <c r="F440" s="65"/>
      <c r="G440" s="50"/>
      <c r="H440" s="54"/>
      <c r="I440" s="55"/>
    </row>
    <row r="441" spans="1:9" s="4" customFormat="1">
      <c r="A441" s="64"/>
      <c r="B441" s="77"/>
      <c r="C441" s="50"/>
      <c r="D441" s="50"/>
      <c r="E441" s="50"/>
      <c r="F441" s="65"/>
      <c r="G441" s="50"/>
      <c r="H441" s="54"/>
      <c r="I441" s="55"/>
    </row>
    <row r="442" spans="1:9" s="4" customFormat="1">
      <c r="A442" s="64"/>
      <c r="B442" s="77"/>
      <c r="C442" s="50"/>
      <c r="D442" s="50"/>
      <c r="E442" s="50"/>
      <c r="F442" s="65"/>
      <c r="G442" s="50"/>
      <c r="H442" s="54"/>
      <c r="I442" s="55"/>
    </row>
    <row r="443" spans="1:9" s="4" customFormat="1">
      <c r="A443" s="64"/>
      <c r="B443" s="77"/>
      <c r="C443" s="50"/>
      <c r="D443" s="50"/>
      <c r="E443" s="50"/>
      <c r="F443" s="65"/>
      <c r="G443" s="50"/>
      <c r="H443" s="54"/>
      <c r="I443" s="55"/>
    </row>
    <row r="444" spans="1:9" s="4" customFormat="1">
      <c r="A444" s="64"/>
      <c r="B444" s="77"/>
      <c r="C444" s="50"/>
      <c r="D444" s="50"/>
      <c r="E444" s="50"/>
      <c r="F444" s="65"/>
      <c r="G444" s="50"/>
      <c r="H444" s="54"/>
      <c r="I444" s="55"/>
    </row>
    <row r="445" spans="1:9" s="4" customFormat="1">
      <c r="A445" s="64"/>
      <c r="B445" s="77"/>
      <c r="C445" s="50"/>
      <c r="D445" s="50"/>
      <c r="E445" s="50"/>
      <c r="F445" s="65"/>
      <c r="G445" s="50"/>
      <c r="H445" s="54"/>
      <c r="I445" s="55"/>
    </row>
    <row r="446" spans="1:9" s="4" customFormat="1">
      <c r="A446" s="64"/>
      <c r="B446" s="77"/>
      <c r="C446" s="50"/>
      <c r="D446" s="50"/>
      <c r="E446" s="50"/>
      <c r="F446" s="65"/>
      <c r="G446" s="50"/>
      <c r="H446" s="54"/>
      <c r="I446" s="55"/>
    </row>
    <row r="447" spans="1:9" s="4" customFormat="1">
      <c r="A447" s="64"/>
      <c r="B447" s="77"/>
      <c r="C447" s="50"/>
      <c r="D447" s="50"/>
      <c r="E447" s="50"/>
      <c r="F447" s="65"/>
      <c r="G447" s="50"/>
      <c r="H447" s="54"/>
      <c r="I447" s="55"/>
    </row>
    <row r="448" spans="1:9" s="4" customFormat="1">
      <c r="A448" s="82"/>
      <c r="B448" s="56"/>
      <c r="C448" s="56"/>
      <c r="D448" s="56"/>
      <c r="E448" s="56"/>
      <c r="F448" s="56"/>
      <c r="G448" s="56"/>
      <c r="H448" s="56"/>
      <c r="I448" s="56"/>
    </row>
    <row r="449" spans="1:9" s="4" customFormat="1">
      <c r="A449" s="36"/>
      <c r="B449" s="50"/>
      <c r="C449" s="50"/>
      <c r="D449" s="50"/>
      <c r="E449" s="50"/>
      <c r="F449" s="36"/>
      <c r="G449" s="36"/>
      <c r="H449" s="36"/>
      <c r="I449" s="36"/>
    </row>
    <row r="450" spans="1:9" s="4" customFormat="1">
      <c r="A450" s="36"/>
      <c r="B450" s="36"/>
      <c r="C450" s="78"/>
      <c r="D450" s="78"/>
      <c r="E450" s="79"/>
      <c r="F450" s="80"/>
      <c r="G450" s="78"/>
      <c r="H450" s="36"/>
      <c r="I450" s="81"/>
    </row>
    <row r="451" spans="1:9" s="4" customFormat="1" ht="12"/>
    <row r="452" spans="1:9" s="4" customFormat="1" ht="20.25">
      <c r="A452" s="66"/>
      <c r="B452" s="67"/>
      <c r="G452" s="57"/>
      <c r="H452" s="57"/>
      <c r="I452" s="57"/>
    </row>
    <row r="453" spans="1:9" s="4" customFormat="1" ht="20.25">
      <c r="A453" s="57"/>
      <c r="B453" s="57"/>
      <c r="C453" s="57"/>
      <c r="D453" s="57"/>
      <c r="E453" s="57"/>
      <c r="F453" s="57"/>
      <c r="G453" s="57"/>
      <c r="H453" s="57"/>
      <c r="I453" s="57"/>
    </row>
    <row r="454" spans="1:9" s="4" customFormat="1" ht="20.25">
      <c r="A454" s="618"/>
      <c r="B454" s="668"/>
      <c r="C454" s="668"/>
      <c r="D454" s="457"/>
      <c r="E454" s="57"/>
      <c r="F454" s="57"/>
      <c r="G454" s="57"/>
      <c r="H454" s="57"/>
      <c r="I454" s="57"/>
    </row>
    <row r="455" spans="1:9" s="4" customFormat="1">
      <c r="A455" s="68"/>
      <c r="B455" s="68"/>
      <c r="C455" s="68"/>
      <c r="D455" s="68"/>
      <c r="E455" s="68"/>
      <c r="F455" s="68"/>
      <c r="G455" s="69"/>
      <c r="H455" s="69"/>
      <c r="I455" s="615"/>
    </row>
    <row r="456" spans="1:9" s="4" customFormat="1">
      <c r="A456" s="68"/>
      <c r="B456" s="68"/>
      <c r="C456" s="68"/>
      <c r="D456" s="68"/>
      <c r="E456" s="68"/>
      <c r="F456" s="68"/>
      <c r="G456" s="69"/>
      <c r="H456" s="69"/>
      <c r="I456" s="615"/>
    </row>
    <row r="457" spans="1:9" s="4" customFormat="1">
      <c r="A457" s="36"/>
      <c r="B457" s="36"/>
      <c r="C457" s="36"/>
      <c r="D457" s="36"/>
      <c r="E457" s="36"/>
      <c r="F457" s="36"/>
      <c r="G457" s="36"/>
      <c r="H457" s="50"/>
      <c r="I457" s="36"/>
    </row>
    <row r="458" spans="1:9" s="4" customFormat="1">
      <c r="A458" s="36"/>
      <c r="B458" s="36"/>
      <c r="C458" s="36"/>
      <c r="D458" s="36"/>
      <c r="E458" s="36"/>
      <c r="F458" s="36"/>
      <c r="G458" s="58"/>
      <c r="H458" s="70"/>
      <c r="I458" s="50"/>
    </row>
    <row r="459" spans="1:9" s="4" customFormat="1">
      <c r="A459" s="36"/>
      <c r="B459" s="36"/>
      <c r="C459" s="36"/>
      <c r="D459" s="36"/>
      <c r="E459" s="36"/>
      <c r="F459" s="36"/>
      <c r="G459" s="59"/>
      <c r="H459" s="70"/>
      <c r="I459" s="50"/>
    </row>
    <row r="460" spans="1:9" s="4" customFormat="1">
      <c r="A460" s="36"/>
      <c r="B460" s="36"/>
      <c r="C460" s="36"/>
      <c r="D460" s="36"/>
      <c r="E460" s="36"/>
      <c r="F460" s="36"/>
      <c r="G460" s="60"/>
      <c r="H460" s="70"/>
      <c r="I460" s="50"/>
    </row>
    <row r="461" spans="1:9" s="4" customFormat="1">
      <c r="A461" s="36"/>
      <c r="B461" s="36"/>
      <c r="C461" s="36"/>
      <c r="D461" s="36"/>
      <c r="E461" s="36"/>
      <c r="F461" s="36"/>
      <c r="G461" s="60"/>
      <c r="H461" s="70"/>
      <c r="I461" s="50"/>
    </row>
    <row r="462" spans="1:9" s="4" customFormat="1">
      <c r="A462" s="36"/>
      <c r="B462" s="36"/>
      <c r="C462" s="36"/>
      <c r="D462" s="36"/>
      <c r="E462" s="36"/>
      <c r="F462" s="36"/>
      <c r="G462" s="60"/>
      <c r="H462" s="70"/>
      <c r="I462" s="50"/>
    </row>
    <row r="463" spans="1:9" s="4" customFormat="1">
      <c r="A463" s="36"/>
      <c r="B463" s="36"/>
      <c r="C463" s="36"/>
      <c r="D463" s="36"/>
      <c r="E463" s="36"/>
      <c r="F463" s="36"/>
      <c r="G463" s="60"/>
      <c r="H463" s="70"/>
      <c r="I463" s="50"/>
    </row>
    <row r="464" spans="1:9" s="4" customFormat="1">
      <c r="A464" s="36"/>
      <c r="B464" s="36"/>
      <c r="C464" s="36"/>
      <c r="D464" s="36"/>
      <c r="E464" s="36"/>
      <c r="F464" s="36"/>
      <c r="G464" s="36"/>
      <c r="H464" s="36"/>
      <c r="I464" s="36"/>
    </row>
    <row r="465" spans="1:9" s="4" customFormat="1">
      <c r="A465" s="68"/>
      <c r="B465" s="68"/>
      <c r="C465" s="68"/>
      <c r="D465" s="68"/>
      <c r="E465" s="68"/>
      <c r="F465" s="68"/>
      <c r="G465" s="622"/>
      <c r="H465" s="71"/>
      <c r="I465" s="71"/>
    </row>
    <row r="466" spans="1:9" s="4" customFormat="1">
      <c r="A466" s="68"/>
      <c r="B466" s="68"/>
      <c r="C466" s="68"/>
      <c r="D466" s="68"/>
      <c r="E466" s="68"/>
      <c r="F466" s="68"/>
      <c r="G466" s="622"/>
      <c r="H466" s="71"/>
      <c r="I466" s="71"/>
    </row>
    <row r="467" spans="1:9" s="4" customFormat="1">
      <c r="A467" s="61"/>
      <c r="B467" s="36"/>
      <c r="C467" s="62"/>
      <c r="D467" s="62"/>
      <c r="E467" s="62"/>
      <c r="F467" s="36"/>
      <c r="G467" s="62"/>
      <c r="H467" s="72"/>
      <c r="I467" s="50"/>
    </row>
    <row r="468" spans="1:9" s="4" customFormat="1">
      <c r="A468" s="36"/>
      <c r="B468" s="36"/>
      <c r="C468" s="36"/>
      <c r="D468" s="36"/>
      <c r="E468" s="36"/>
      <c r="F468" s="36"/>
      <c r="G468" s="50"/>
      <c r="H468" s="50"/>
      <c r="I468" s="70"/>
    </row>
    <row r="469" spans="1:9" s="4" customFormat="1">
      <c r="A469" s="36"/>
      <c r="B469" s="36"/>
      <c r="C469" s="36"/>
      <c r="D469" s="36"/>
      <c r="E469" s="36"/>
      <c r="F469" s="36"/>
      <c r="G469" s="70"/>
      <c r="H469" s="50"/>
      <c r="I469" s="50"/>
    </row>
    <row r="470" spans="1:9" s="4" customFormat="1">
      <c r="A470" s="36"/>
      <c r="B470" s="36"/>
      <c r="C470" s="36"/>
      <c r="D470" s="36"/>
      <c r="E470" s="36"/>
      <c r="F470" s="36"/>
      <c r="G470" s="47"/>
      <c r="H470" s="50"/>
      <c r="I470" s="50"/>
    </row>
    <row r="471" spans="1:9" s="4" customFormat="1">
      <c r="A471" s="36"/>
      <c r="B471" s="36"/>
      <c r="C471" s="36"/>
      <c r="D471" s="36"/>
      <c r="E471" s="36"/>
      <c r="F471" s="36"/>
      <c r="G471" s="73"/>
      <c r="H471" s="50"/>
      <c r="I471" s="50"/>
    </row>
    <row r="472" spans="1:9" s="4" customFormat="1">
      <c r="A472" s="36"/>
      <c r="B472" s="36"/>
      <c r="C472" s="36"/>
      <c r="D472" s="36"/>
      <c r="E472" s="36"/>
      <c r="F472" s="50"/>
      <c r="G472" s="36"/>
      <c r="H472" s="36"/>
      <c r="I472" s="36"/>
    </row>
    <row r="473" spans="1:9" s="4" customFormat="1">
      <c r="A473" s="63"/>
      <c r="B473" s="36"/>
      <c r="C473" s="36"/>
      <c r="D473" s="36"/>
      <c r="E473" s="36"/>
      <c r="F473" s="50"/>
      <c r="G473" s="36"/>
      <c r="H473" s="36"/>
      <c r="I473" s="36"/>
    </row>
    <row r="474" spans="1:9" s="4" customFormat="1">
      <c r="A474" s="36"/>
      <c r="B474" s="74"/>
      <c r="C474" s="36"/>
      <c r="D474" s="36"/>
      <c r="E474" s="36"/>
      <c r="F474" s="36"/>
      <c r="G474" s="36"/>
      <c r="H474" s="36"/>
      <c r="I474" s="36"/>
    </row>
    <row r="475" spans="1:9" s="4" customFormat="1">
      <c r="A475" s="619"/>
      <c r="B475" s="456"/>
      <c r="C475" s="456"/>
      <c r="D475" s="456"/>
      <c r="E475" s="619"/>
      <c r="F475" s="619"/>
      <c r="G475" s="619"/>
      <c r="H475" s="619"/>
      <c r="I475" s="619"/>
    </row>
    <row r="476" spans="1:9" s="4" customFormat="1">
      <c r="A476" s="619"/>
      <c r="B476" s="456"/>
      <c r="C476" s="456"/>
      <c r="D476" s="456"/>
      <c r="E476" s="456"/>
      <c r="F476" s="456"/>
      <c r="G476" s="620"/>
      <c r="H476" s="620"/>
      <c r="I476" s="620"/>
    </row>
    <row r="477" spans="1:9" s="4" customFormat="1">
      <c r="A477" s="64"/>
      <c r="B477" s="76"/>
      <c r="C477" s="50"/>
      <c r="D477" s="50"/>
      <c r="E477" s="50"/>
      <c r="F477" s="65"/>
      <c r="G477" s="50"/>
      <c r="H477" s="50"/>
      <c r="I477" s="55"/>
    </row>
    <row r="478" spans="1:9" s="4" customFormat="1">
      <c r="A478" s="64"/>
      <c r="B478" s="76"/>
      <c r="C478" s="50"/>
      <c r="D478" s="50"/>
      <c r="E478" s="50"/>
      <c r="F478" s="65"/>
      <c r="G478" s="50"/>
      <c r="H478" s="54"/>
      <c r="I478" s="55"/>
    </row>
    <row r="479" spans="1:9" s="4" customFormat="1">
      <c r="A479" s="64"/>
      <c r="B479" s="76"/>
      <c r="C479" s="50"/>
      <c r="D479" s="50"/>
      <c r="E479" s="50"/>
      <c r="F479" s="65"/>
      <c r="G479" s="50"/>
      <c r="H479" s="54"/>
      <c r="I479" s="36"/>
    </row>
    <row r="480" spans="1:9" s="4" customFormat="1">
      <c r="A480" s="64"/>
      <c r="B480" s="76"/>
      <c r="C480" s="50"/>
      <c r="D480" s="50"/>
      <c r="E480" s="50"/>
      <c r="F480" s="65"/>
      <c r="G480" s="50"/>
      <c r="H480" s="54"/>
      <c r="I480" s="55"/>
    </row>
    <row r="481" spans="1:9" s="4" customFormat="1">
      <c r="A481" s="64"/>
      <c r="B481" s="77"/>
      <c r="C481" s="50"/>
      <c r="D481" s="50"/>
      <c r="E481" s="50"/>
      <c r="F481" s="65"/>
      <c r="G481" s="50"/>
      <c r="H481" s="54"/>
      <c r="I481" s="55"/>
    </row>
    <row r="482" spans="1:9" s="4" customFormat="1">
      <c r="A482" s="64"/>
      <c r="B482" s="77"/>
      <c r="C482" s="50"/>
      <c r="D482" s="50"/>
      <c r="E482" s="50"/>
      <c r="F482" s="65"/>
      <c r="G482" s="50"/>
      <c r="H482" s="54"/>
      <c r="I482" s="55"/>
    </row>
    <row r="483" spans="1:9" s="4" customFormat="1">
      <c r="A483" s="64"/>
      <c r="B483" s="77"/>
      <c r="C483" s="50"/>
      <c r="D483" s="50"/>
      <c r="E483" s="50"/>
      <c r="F483" s="65"/>
      <c r="G483" s="50"/>
      <c r="H483" s="54"/>
      <c r="I483" s="55"/>
    </row>
    <row r="484" spans="1:9" s="4" customFormat="1">
      <c r="A484" s="64"/>
      <c r="B484" s="77"/>
      <c r="C484" s="50"/>
      <c r="D484" s="50"/>
      <c r="E484" s="50"/>
      <c r="F484" s="65"/>
      <c r="G484" s="50"/>
      <c r="H484" s="54"/>
      <c r="I484" s="55"/>
    </row>
    <row r="485" spans="1:9" s="4" customFormat="1">
      <c r="A485" s="64"/>
      <c r="B485" s="77"/>
      <c r="C485" s="50"/>
      <c r="D485" s="50"/>
      <c r="E485" s="50"/>
      <c r="F485" s="65"/>
      <c r="G485" s="50"/>
      <c r="H485" s="54"/>
      <c r="I485" s="55"/>
    </row>
    <row r="486" spans="1:9" s="4" customFormat="1">
      <c r="A486" s="64"/>
      <c r="B486" s="77"/>
      <c r="C486" s="50"/>
      <c r="D486" s="50"/>
      <c r="E486" s="50"/>
      <c r="F486" s="65"/>
      <c r="G486" s="50"/>
      <c r="H486" s="54"/>
      <c r="I486" s="55"/>
    </row>
    <row r="487" spans="1:9" s="4" customFormat="1">
      <c r="A487" s="64"/>
      <c r="B487" s="77"/>
      <c r="C487" s="50"/>
      <c r="D487" s="50"/>
      <c r="E487" s="50"/>
      <c r="F487" s="65"/>
      <c r="G487" s="50"/>
      <c r="H487" s="54"/>
      <c r="I487" s="55"/>
    </row>
    <row r="488" spans="1:9" s="4" customFormat="1">
      <c r="A488" s="64"/>
      <c r="B488" s="77"/>
      <c r="C488" s="50"/>
      <c r="D488" s="50"/>
      <c r="E488" s="50"/>
      <c r="F488" s="65"/>
      <c r="G488" s="50"/>
      <c r="H488" s="54"/>
      <c r="I488" s="55"/>
    </row>
    <row r="489" spans="1:9" s="4" customFormat="1">
      <c r="A489" s="64"/>
      <c r="B489" s="77"/>
      <c r="C489" s="50"/>
      <c r="D489" s="50"/>
      <c r="E489" s="50"/>
      <c r="F489" s="65"/>
      <c r="G489" s="50"/>
      <c r="H489" s="54"/>
      <c r="I489" s="55"/>
    </row>
    <row r="490" spans="1:9" s="4" customFormat="1">
      <c r="A490" s="64"/>
      <c r="B490" s="77"/>
      <c r="C490" s="50"/>
      <c r="D490" s="50"/>
      <c r="E490" s="50"/>
      <c r="F490" s="65"/>
      <c r="G490" s="50"/>
      <c r="H490" s="54"/>
      <c r="I490" s="55"/>
    </row>
    <row r="491" spans="1:9" s="4" customFormat="1">
      <c r="A491" s="64"/>
      <c r="B491" s="77"/>
      <c r="C491" s="50"/>
      <c r="D491" s="50"/>
      <c r="E491" s="50"/>
      <c r="F491" s="65"/>
      <c r="G491" s="50"/>
      <c r="H491" s="54"/>
      <c r="I491" s="55"/>
    </row>
    <row r="492" spans="1:9" s="4" customFormat="1">
      <c r="A492" s="64"/>
      <c r="B492" s="77"/>
      <c r="C492" s="50"/>
      <c r="D492" s="50"/>
      <c r="E492" s="50"/>
      <c r="F492" s="65"/>
      <c r="G492" s="50"/>
      <c r="H492" s="54"/>
      <c r="I492" s="55"/>
    </row>
    <row r="493" spans="1:9" s="4" customFormat="1">
      <c r="A493" s="64"/>
      <c r="B493" s="77"/>
      <c r="C493" s="50"/>
      <c r="D493" s="50"/>
      <c r="E493" s="50"/>
      <c r="F493" s="65"/>
      <c r="G493" s="50"/>
      <c r="H493" s="54"/>
      <c r="I493" s="55"/>
    </row>
    <row r="494" spans="1:9" s="4" customFormat="1">
      <c r="A494" s="64"/>
      <c r="B494" s="77"/>
      <c r="C494" s="50"/>
      <c r="D494" s="50"/>
      <c r="E494" s="50"/>
      <c r="F494" s="65"/>
      <c r="G494" s="50"/>
      <c r="H494" s="54"/>
      <c r="I494" s="55"/>
    </row>
    <row r="495" spans="1:9" s="4" customFormat="1">
      <c r="A495" s="64"/>
      <c r="B495" s="77"/>
      <c r="C495" s="50"/>
      <c r="D495" s="50"/>
      <c r="E495" s="50"/>
      <c r="F495" s="65"/>
      <c r="G495" s="50"/>
      <c r="H495" s="54"/>
      <c r="I495" s="55"/>
    </row>
    <row r="496" spans="1:9" s="4" customFormat="1">
      <c r="A496" s="64"/>
      <c r="B496" s="77"/>
      <c r="C496" s="50"/>
      <c r="D496" s="50"/>
      <c r="E496" s="50"/>
      <c r="F496" s="65"/>
      <c r="G496" s="50"/>
      <c r="H496" s="54"/>
      <c r="I496" s="55"/>
    </row>
    <row r="497" spans="1:9" s="4" customFormat="1">
      <c r="A497" s="64"/>
      <c r="B497" s="77"/>
      <c r="C497" s="50"/>
      <c r="D497" s="50"/>
      <c r="E497" s="50"/>
      <c r="F497" s="65"/>
      <c r="G497" s="50"/>
      <c r="H497" s="54"/>
      <c r="I497" s="55"/>
    </row>
    <row r="498" spans="1:9" s="4" customFormat="1">
      <c r="A498" s="64"/>
      <c r="B498" s="77"/>
      <c r="C498" s="50"/>
      <c r="D498" s="50"/>
      <c r="E498" s="50"/>
      <c r="F498" s="65"/>
      <c r="G498" s="50"/>
      <c r="H498" s="54"/>
      <c r="I498" s="55"/>
    </row>
    <row r="499" spans="1:9" s="4" customFormat="1">
      <c r="A499" s="64"/>
      <c r="B499" s="77"/>
      <c r="C499" s="50"/>
      <c r="D499" s="50"/>
      <c r="E499" s="50"/>
      <c r="F499" s="65"/>
      <c r="G499" s="50"/>
      <c r="H499" s="54"/>
      <c r="I499" s="55"/>
    </row>
    <row r="500" spans="1:9" s="4" customFormat="1">
      <c r="A500" s="64"/>
      <c r="B500" s="77"/>
      <c r="C500" s="50"/>
      <c r="D500" s="50"/>
      <c r="E500" s="50"/>
      <c r="F500" s="65"/>
      <c r="G500" s="50"/>
      <c r="H500" s="54"/>
      <c r="I500" s="55"/>
    </row>
    <row r="501" spans="1:9" s="4" customFormat="1">
      <c r="A501" s="64"/>
      <c r="B501" s="77"/>
      <c r="C501" s="50"/>
      <c r="D501" s="50"/>
      <c r="E501" s="50"/>
      <c r="F501" s="65"/>
      <c r="G501" s="50"/>
      <c r="H501" s="54"/>
      <c r="I501" s="55"/>
    </row>
    <row r="502" spans="1:9" s="4" customFormat="1">
      <c r="A502" s="82"/>
      <c r="B502" s="56"/>
      <c r="C502" s="56"/>
      <c r="D502" s="56"/>
      <c r="E502" s="56"/>
      <c r="F502" s="56"/>
      <c r="G502" s="56"/>
      <c r="H502" s="56"/>
      <c r="I502" s="56"/>
    </row>
    <row r="503" spans="1:9" s="4" customFormat="1">
      <c r="A503" s="36"/>
      <c r="B503" s="50"/>
      <c r="C503" s="50"/>
      <c r="D503" s="50"/>
      <c r="E503" s="50"/>
      <c r="F503" s="36"/>
      <c r="G503" s="36"/>
      <c r="H503" s="36"/>
      <c r="I503" s="36"/>
    </row>
    <row r="504" spans="1:9" s="4" customFormat="1">
      <c r="A504" s="36"/>
      <c r="B504" s="36"/>
      <c r="C504" s="78"/>
      <c r="D504" s="78"/>
      <c r="E504" s="79"/>
      <c r="F504" s="80"/>
      <c r="G504" s="78"/>
      <c r="H504" s="36"/>
      <c r="I504" s="81"/>
    </row>
    <row r="505" spans="1:9" s="4" customFormat="1" ht="12"/>
    <row r="506" spans="1:9" s="4" customFormat="1" ht="20.25">
      <c r="A506" s="66"/>
      <c r="B506" s="67"/>
      <c r="G506" s="57"/>
      <c r="H506" s="57"/>
      <c r="I506" s="57"/>
    </row>
    <row r="507" spans="1:9" s="4" customFormat="1" ht="20.25">
      <c r="A507" s="57"/>
      <c r="B507" s="57"/>
      <c r="C507" s="57"/>
      <c r="D507" s="57"/>
      <c r="E507" s="57"/>
      <c r="F507" s="57"/>
      <c r="G507" s="57"/>
      <c r="H507" s="57"/>
      <c r="I507" s="57"/>
    </row>
    <row r="508" spans="1:9" s="4" customFormat="1" ht="20.25">
      <c r="A508" s="618"/>
      <c r="B508" s="668"/>
      <c r="C508" s="668"/>
      <c r="D508" s="457"/>
      <c r="E508" s="57"/>
      <c r="F508" s="57"/>
      <c r="G508" s="57"/>
      <c r="H508" s="57"/>
      <c r="I508" s="57"/>
    </row>
    <row r="509" spans="1:9" s="4" customFormat="1">
      <c r="A509" s="68"/>
      <c r="B509" s="68"/>
      <c r="C509" s="68"/>
      <c r="D509" s="68"/>
      <c r="E509" s="68"/>
      <c r="F509" s="68"/>
      <c r="G509" s="69"/>
      <c r="H509" s="69"/>
      <c r="I509" s="615"/>
    </row>
    <row r="510" spans="1:9" s="4" customFormat="1">
      <c r="A510" s="68"/>
      <c r="B510" s="68"/>
      <c r="C510" s="68"/>
      <c r="D510" s="68"/>
      <c r="E510" s="68"/>
      <c r="F510" s="68"/>
      <c r="G510" s="69"/>
      <c r="H510" s="69"/>
      <c r="I510" s="615"/>
    </row>
    <row r="511" spans="1:9" s="4" customFormat="1">
      <c r="A511" s="36"/>
      <c r="B511" s="36"/>
      <c r="C511" s="36"/>
      <c r="D511" s="36"/>
      <c r="E511" s="36"/>
      <c r="F511" s="36"/>
      <c r="G511" s="36"/>
      <c r="H511" s="50"/>
      <c r="I511" s="36"/>
    </row>
    <row r="512" spans="1:9" s="4" customFormat="1">
      <c r="A512" s="36"/>
      <c r="B512" s="36"/>
      <c r="C512" s="36"/>
      <c r="D512" s="36"/>
      <c r="E512" s="36"/>
      <c r="F512" s="36"/>
      <c r="G512" s="58"/>
      <c r="H512" s="70"/>
      <c r="I512" s="50"/>
    </row>
    <row r="513" spans="1:9" s="4" customFormat="1">
      <c r="A513" s="36"/>
      <c r="B513" s="36"/>
      <c r="C513" s="36"/>
      <c r="D513" s="36"/>
      <c r="E513" s="36"/>
      <c r="F513" s="36"/>
      <c r="G513" s="59"/>
      <c r="H513" s="70"/>
      <c r="I513" s="50"/>
    </row>
    <row r="514" spans="1:9" s="4" customFormat="1">
      <c r="A514" s="36"/>
      <c r="B514" s="36"/>
      <c r="C514" s="36"/>
      <c r="D514" s="36"/>
      <c r="E514" s="36"/>
      <c r="F514" s="36"/>
      <c r="G514" s="60"/>
      <c r="H514" s="70"/>
      <c r="I514" s="50"/>
    </row>
    <row r="515" spans="1:9" s="4" customFormat="1">
      <c r="A515" s="36"/>
      <c r="B515" s="36"/>
      <c r="C515" s="36"/>
      <c r="D515" s="36"/>
      <c r="E515" s="36"/>
      <c r="F515" s="36"/>
      <c r="G515" s="60"/>
      <c r="H515" s="70"/>
      <c r="I515" s="50"/>
    </row>
    <row r="516" spans="1:9" s="4" customFormat="1">
      <c r="A516" s="36"/>
      <c r="B516" s="36"/>
      <c r="C516" s="36"/>
      <c r="D516" s="36"/>
      <c r="E516" s="36"/>
      <c r="F516" s="36"/>
      <c r="G516" s="60"/>
      <c r="H516" s="70"/>
      <c r="I516" s="50"/>
    </row>
    <row r="517" spans="1:9" s="4" customFormat="1">
      <c r="A517" s="36"/>
      <c r="B517" s="36"/>
      <c r="C517" s="36"/>
      <c r="D517" s="36"/>
      <c r="E517" s="36"/>
      <c r="F517" s="36"/>
      <c r="G517" s="60"/>
      <c r="H517" s="70"/>
      <c r="I517" s="50"/>
    </row>
    <row r="518" spans="1:9" s="4" customFormat="1">
      <c r="A518" s="36"/>
      <c r="B518" s="36"/>
      <c r="C518" s="36"/>
      <c r="D518" s="36"/>
      <c r="E518" s="36"/>
      <c r="F518" s="36"/>
      <c r="G518" s="36"/>
      <c r="H518" s="36"/>
      <c r="I518" s="36"/>
    </row>
    <row r="519" spans="1:9" s="4" customFormat="1">
      <c r="A519" s="68"/>
      <c r="B519" s="68"/>
      <c r="C519" s="68"/>
      <c r="D519" s="68"/>
      <c r="E519" s="68"/>
      <c r="F519" s="68"/>
      <c r="G519" s="622"/>
      <c r="H519" s="71"/>
      <c r="I519" s="71"/>
    </row>
    <row r="520" spans="1:9" s="4" customFormat="1">
      <c r="A520" s="68"/>
      <c r="B520" s="68"/>
      <c r="C520" s="68"/>
      <c r="D520" s="68"/>
      <c r="E520" s="68"/>
      <c r="F520" s="68"/>
      <c r="G520" s="622"/>
      <c r="H520" s="71"/>
      <c r="I520" s="71"/>
    </row>
    <row r="521" spans="1:9" s="4" customFormat="1">
      <c r="A521" s="61"/>
      <c r="B521" s="36"/>
      <c r="C521" s="62"/>
      <c r="D521" s="62"/>
      <c r="E521" s="62"/>
      <c r="F521" s="36"/>
      <c r="G521" s="62"/>
      <c r="H521" s="72"/>
      <c r="I521" s="50"/>
    </row>
    <row r="522" spans="1:9" s="4" customFormat="1">
      <c r="A522" s="36"/>
      <c r="B522" s="36"/>
      <c r="C522" s="36"/>
      <c r="D522" s="36"/>
      <c r="E522" s="36"/>
      <c r="F522" s="36"/>
      <c r="G522" s="50"/>
      <c r="H522" s="50"/>
      <c r="I522" s="70"/>
    </row>
    <row r="523" spans="1:9" s="4" customFormat="1">
      <c r="A523" s="36"/>
      <c r="B523" s="36"/>
      <c r="C523" s="36"/>
      <c r="D523" s="36"/>
      <c r="E523" s="36"/>
      <c r="F523" s="36"/>
      <c r="G523" s="70"/>
      <c r="H523" s="50"/>
      <c r="I523" s="50"/>
    </row>
    <row r="524" spans="1:9" s="4" customFormat="1">
      <c r="A524" s="36"/>
      <c r="B524" s="36"/>
      <c r="C524" s="36"/>
      <c r="D524" s="36"/>
      <c r="E524" s="36"/>
      <c r="F524" s="36"/>
      <c r="G524" s="47"/>
      <c r="H524" s="50"/>
      <c r="I524" s="50"/>
    </row>
    <row r="525" spans="1:9" s="4" customFormat="1">
      <c r="A525" s="36"/>
      <c r="B525" s="36"/>
      <c r="C525" s="36"/>
      <c r="D525" s="36"/>
      <c r="E525" s="36"/>
      <c r="F525" s="36"/>
      <c r="G525" s="73"/>
      <c r="H525" s="50"/>
      <c r="I525" s="50"/>
    </row>
    <row r="526" spans="1:9" s="4" customFormat="1">
      <c r="A526" s="36"/>
      <c r="B526" s="36"/>
      <c r="C526" s="36"/>
      <c r="D526" s="36"/>
      <c r="E526" s="36"/>
      <c r="F526" s="50"/>
      <c r="G526" s="36"/>
      <c r="H526" s="36"/>
      <c r="I526" s="36"/>
    </row>
    <row r="527" spans="1:9" s="4" customFormat="1">
      <c r="A527" s="63"/>
      <c r="B527" s="36"/>
      <c r="C527" s="36"/>
      <c r="D527" s="36"/>
      <c r="E527" s="36"/>
      <c r="F527" s="50"/>
      <c r="G527" s="36"/>
      <c r="H527" s="36"/>
      <c r="I527" s="36"/>
    </row>
    <row r="528" spans="1:9" s="4" customFormat="1">
      <c r="A528" s="36"/>
      <c r="B528" s="74"/>
      <c r="C528" s="36"/>
      <c r="D528" s="36"/>
      <c r="E528" s="36"/>
      <c r="F528" s="36"/>
      <c r="G528" s="36"/>
      <c r="H528" s="36"/>
      <c r="I528" s="36"/>
    </row>
    <row r="529" spans="1:9" s="4" customFormat="1">
      <c r="A529" s="619"/>
      <c r="B529" s="456"/>
      <c r="C529" s="456"/>
      <c r="D529" s="456"/>
      <c r="E529" s="619"/>
      <c r="F529" s="619"/>
      <c r="G529" s="619"/>
      <c r="H529" s="619"/>
      <c r="I529" s="619"/>
    </row>
    <row r="530" spans="1:9" s="4" customFormat="1">
      <c r="A530" s="619"/>
      <c r="B530" s="456"/>
      <c r="C530" s="456"/>
      <c r="D530" s="456"/>
      <c r="E530" s="456"/>
      <c r="F530" s="456"/>
      <c r="G530" s="620"/>
      <c r="H530" s="620"/>
      <c r="I530" s="620"/>
    </row>
    <row r="531" spans="1:9" s="4" customFormat="1">
      <c r="A531" s="64"/>
      <c r="B531" s="76"/>
      <c r="C531" s="50"/>
      <c r="D531" s="50"/>
      <c r="E531" s="50"/>
      <c r="F531" s="65"/>
      <c r="G531" s="50"/>
      <c r="H531" s="50"/>
      <c r="I531" s="55"/>
    </row>
    <row r="532" spans="1:9" s="4" customFormat="1">
      <c r="A532" s="64"/>
      <c r="B532" s="76"/>
      <c r="C532" s="50"/>
      <c r="D532" s="50"/>
      <c r="E532" s="50"/>
      <c r="F532" s="65"/>
      <c r="G532" s="50"/>
      <c r="H532" s="54"/>
      <c r="I532" s="55"/>
    </row>
    <row r="533" spans="1:9" s="4" customFormat="1">
      <c r="A533" s="64"/>
      <c r="B533" s="76"/>
      <c r="C533" s="50"/>
      <c r="D533" s="50"/>
      <c r="E533" s="50"/>
      <c r="F533" s="65"/>
      <c r="G533" s="50"/>
      <c r="H533" s="54"/>
      <c r="I533" s="36"/>
    </row>
    <row r="534" spans="1:9" s="4" customFormat="1">
      <c r="A534" s="64"/>
      <c r="B534" s="76"/>
      <c r="C534" s="50"/>
      <c r="D534" s="50"/>
      <c r="E534" s="50"/>
      <c r="F534" s="65"/>
      <c r="G534" s="50"/>
      <c r="H534" s="54"/>
      <c r="I534" s="55"/>
    </row>
    <row r="535" spans="1:9" s="4" customFormat="1">
      <c r="A535" s="64"/>
      <c r="B535" s="77"/>
      <c r="C535" s="50"/>
      <c r="D535" s="50"/>
      <c r="E535" s="50"/>
      <c r="F535" s="65"/>
      <c r="G535" s="50"/>
      <c r="H535" s="54"/>
      <c r="I535" s="55"/>
    </row>
    <row r="536" spans="1:9" s="4" customFormat="1">
      <c r="A536" s="64"/>
      <c r="B536" s="77"/>
      <c r="C536" s="50"/>
      <c r="D536" s="50"/>
      <c r="E536" s="50"/>
      <c r="F536" s="65"/>
      <c r="G536" s="50"/>
      <c r="H536" s="54"/>
      <c r="I536" s="55"/>
    </row>
    <row r="537" spans="1:9" s="4" customFormat="1">
      <c r="A537" s="64"/>
      <c r="B537" s="77"/>
      <c r="C537" s="50"/>
      <c r="D537" s="50"/>
      <c r="E537" s="50"/>
      <c r="F537" s="65"/>
      <c r="G537" s="50"/>
      <c r="H537" s="54"/>
      <c r="I537" s="55"/>
    </row>
    <row r="538" spans="1:9" s="4" customFormat="1">
      <c r="A538" s="64"/>
      <c r="B538" s="77"/>
      <c r="C538" s="50"/>
      <c r="D538" s="50"/>
      <c r="E538" s="50"/>
      <c r="F538" s="65"/>
      <c r="G538" s="50"/>
      <c r="H538" s="54"/>
      <c r="I538" s="55"/>
    </row>
    <row r="539" spans="1:9" s="4" customFormat="1">
      <c r="A539" s="64"/>
      <c r="B539" s="77"/>
      <c r="C539" s="50"/>
      <c r="D539" s="50"/>
      <c r="E539" s="50"/>
      <c r="F539" s="65"/>
      <c r="G539" s="50"/>
      <c r="H539" s="54"/>
      <c r="I539" s="55"/>
    </row>
    <row r="540" spans="1:9" s="4" customFormat="1">
      <c r="A540" s="64"/>
      <c r="B540" s="77"/>
      <c r="C540" s="50"/>
      <c r="D540" s="50"/>
      <c r="E540" s="50"/>
      <c r="F540" s="65"/>
      <c r="G540" s="50"/>
      <c r="H540" s="54"/>
      <c r="I540" s="55"/>
    </row>
    <row r="541" spans="1:9" s="4" customFormat="1">
      <c r="A541" s="64"/>
      <c r="B541" s="77"/>
      <c r="C541" s="50"/>
      <c r="D541" s="50"/>
      <c r="E541" s="50"/>
      <c r="F541" s="65"/>
      <c r="G541" s="50"/>
      <c r="H541" s="54"/>
      <c r="I541" s="55"/>
    </row>
    <row r="542" spans="1:9" s="4" customFormat="1">
      <c r="A542" s="64"/>
      <c r="B542" s="77"/>
      <c r="C542" s="50"/>
      <c r="D542" s="50"/>
      <c r="E542" s="50"/>
      <c r="F542" s="65"/>
      <c r="G542" s="50"/>
      <c r="H542" s="54"/>
      <c r="I542" s="55"/>
    </row>
    <row r="543" spans="1:9" s="4" customFormat="1">
      <c r="A543" s="64"/>
      <c r="B543" s="77"/>
      <c r="C543" s="50"/>
      <c r="D543" s="50"/>
      <c r="E543" s="50"/>
      <c r="F543" s="65"/>
      <c r="G543" s="50"/>
      <c r="H543" s="54"/>
      <c r="I543" s="55"/>
    </row>
    <row r="544" spans="1:9" s="4" customFormat="1">
      <c r="A544" s="64"/>
      <c r="B544" s="77"/>
      <c r="C544" s="50"/>
      <c r="D544" s="50"/>
      <c r="E544" s="50"/>
      <c r="F544" s="65"/>
      <c r="G544" s="50"/>
      <c r="H544" s="54"/>
      <c r="I544" s="55"/>
    </row>
    <row r="545" spans="1:9" s="4" customFormat="1">
      <c r="A545" s="64"/>
      <c r="B545" s="77"/>
      <c r="C545" s="50"/>
      <c r="D545" s="50"/>
      <c r="E545" s="50"/>
      <c r="F545" s="65"/>
      <c r="G545" s="50"/>
      <c r="H545" s="54"/>
      <c r="I545" s="55"/>
    </row>
    <row r="546" spans="1:9" s="4" customFormat="1">
      <c r="A546" s="64"/>
      <c r="B546" s="77"/>
      <c r="C546" s="50"/>
      <c r="D546" s="50"/>
      <c r="E546" s="50"/>
      <c r="F546" s="65"/>
      <c r="G546" s="50"/>
      <c r="H546" s="54"/>
      <c r="I546" s="55"/>
    </row>
    <row r="547" spans="1:9" s="4" customFormat="1">
      <c r="A547" s="64"/>
      <c r="B547" s="77"/>
      <c r="C547" s="50"/>
      <c r="D547" s="50"/>
      <c r="E547" s="50"/>
      <c r="F547" s="65"/>
      <c r="G547" s="50"/>
      <c r="H547" s="54"/>
      <c r="I547" s="55"/>
    </row>
    <row r="548" spans="1:9" s="4" customFormat="1">
      <c r="A548" s="64"/>
      <c r="B548" s="77"/>
      <c r="C548" s="50"/>
      <c r="D548" s="50"/>
      <c r="E548" s="50"/>
      <c r="F548" s="65"/>
      <c r="G548" s="50"/>
      <c r="H548" s="54"/>
      <c r="I548" s="55"/>
    </row>
    <row r="549" spans="1:9" s="4" customFormat="1">
      <c r="A549" s="64"/>
      <c r="B549" s="77"/>
      <c r="C549" s="50"/>
      <c r="D549" s="50"/>
      <c r="E549" s="50"/>
      <c r="F549" s="65"/>
      <c r="G549" s="50"/>
      <c r="H549" s="54"/>
      <c r="I549" s="55"/>
    </row>
    <row r="550" spans="1:9" s="4" customFormat="1">
      <c r="A550" s="64"/>
      <c r="B550" s="77"/>
      <c r="C550" s="50"/>
      <c r="D550" s="50"/>
      <c r="E550" s="50"/>
      <c r="F550" s="65"/>
      <c r="G550" s="50"/>
      <c r="H550" s="54"/>
      <c r="I550" s="55"/>
    </row>
    <row r="551" spans="1:9" s="4" customFormat="1">
      <c r="A551" s="64"/>
      <c r="B551" s="77"/>
      <c r="C551" s="50"/>
      <c r="D551" s="50"/>
      <c r="E551" s="50"/>
      <c r="F551" s="65"/>
      <c r="G551" s="50"/>
      <c r="H551" s="54"/>
      <c r="I551" s="55"/>
    </row>
    <row r="552" spans="1:9" s="4" customFormat="1">
      <c r="A552" s="64"/>
      <c r="B552" s="77"/>
      <c r="C552" s="50"/>
      <c r="D552" s="50"/>
      <c r="E552" s="50"/>
      <c r="F552" s="65"/>
      <c r="G552" s="50"/>
      <c r="H552" s="54"/>
      <c r="I552" s="55"/>
    </row>
    <row r="553" spans="1:9" s="4" customFormat="1">
      <c r="A553" s="64"/>
      <c r="B553" s="77"/>
      <c r="C553" s="50"/>
      <c r="D553" s="50"/>
      <c r="E553" s="50"/>
      <c r="F553" s="65"/>
      <c r="G553" s="50"/>
      <c r="H553" s="54"/>
      <c r="I553" s="55"/>
    </row>
    <row r="554" spans="1:9" s="4" customFormat="1">
      <c r="A554" s="64"/>
      <c r="B554" s="77"/>
      <c r="C554" s="50"/>
      <c r="D554" s="50"/>
      <c r="E554" s="50"/>
      <c r="F554" s="65"/>
      <c r="G554" s="50"/>
      <c r="H554" s="54"/>
      <c r="I554" s="55"/>
    </row>
    <row r="555" spans="1:9" s="4" customFormat="1">
      <c r="A555" s="64"/>
      <c r="B555" s="77"/>
      <c r="C555" s="50"/>
      <c r="D555" s="50"/>
      <c r="E555" s="50"/>
      <c r="F555" s="65"/>
      <c r="G555" s="50"/>
      <c r="H555" s="54"/>
      <c r="I555" s="55"/>
    </row>
    <row r="556" spans="1:9" s="4" customFormat="1">
      <c r="A556" s="82"/>
      <c r="B556" s="56"/>
      <c r="C556" s="56"/>
      <c r="D556" s="56"/>
      <c r="E556" s="56"/>
      <c r="F556" s="56"/>
      <c r="G556" s="56"/>
      <c r="H556" s="56"/>
      <c r="I556" s="56"/>
    </row>
    <row r="557" spans="1:9" s="4" customFormat="1">
      <c r="A557" s="36"/>
      <c r="B557" s="50"/>
      <c r="C557" s="50"/>
      <c r="D557" s="50"/>
      <c r="E557" s="50"/>
      <c r="F557" s="36"/>
      <c r="G557" s="36"/>
      <c r="H557" s="36"/>
      <c r="I557" s="36"/>
    </row>
    <row r="558" spans="1:9" s="4" customFormat="1">
      <c r="A558" s="36"/>
      <c r="B558" s="36"/>
      <c r="C558" s="78"/>
      <c r="D558" s="78"/>
      <c r="E558" s="79"/>
      <c r="F558" s="80"/>
      <c r="G558" s="78"/>
      <c r="H558" s="36"/>
      <c r="I558" s="81"/>
    </row>
    <row r="559" spans="1:9" s="4" customFormat="1" ht="12"/>
    <row r="560" spans="1:9" s="4" customFormat="1" ht="20.25">
      <c r="A560" s="66"/>
      <c r="B560" s="67"/>
      <c r="G560" s="57"/>
      <c r="H560" s="57"/>
      <c r="I560" s="57"/>
    </row>
    <row r="561" spans="1:9" s="4" customFormat="1" ht="20.25">
      <c r="A561" s="57"/>
      <c r="B561" s="57"/>
      <c r="C561" s="57"/>
      <c r="D561" s="57"/>
      <c r="E561" s="57"/>
      <c r="F561" s="57"/>
      <c r="G561" s="57"/>
      <c r="H561" s="57"/>
      <c r="I561" s="57"/>
    </row>
    <row r="562" spans="1:9" s="4" customFormat="1" ht="29.25" customHeight="1">
      <c r="A562" s="618"/>
      <c r="B562" s="668"/>
      <c r="C562" s="668"/>
      <c r="D562" s="457"/>
      <c r="E562" s="57"/>
      <c r="F562" s="57"/>
      <c r="G562" s="57"/>
      <c r="H562" s="57"/>
      <c r="I562" s="57"/>
    </row>
    <row r="563" spans="1:9" s="4" customFormat="1">
      <c r="A563" s="68"/>
      <c r="B563" s="68"/>
      <c r="C563" s="68"/>
      <c r="D563" s="68"/>
      <c r="E563" s="68"/>
      <c r="F563" s="68"/>
      <c r="G563" s="69"/>
      <c r="H563" s="69"/>
      <c r="I563" s="615"/>
    </row>
    <row r="564" spans="1:9" s="4" customFormat="1">
      <c r="A564" s="68"/>
      <c r="B564" s="68"/>
      <c r="C564" s="68"/>
      <c r="D564" s="68"/>
      <c r="E564" s="68"/>
      <c r="F564" s="68"/>
      <c r="G564" s="69"/>
      <c r="H564" s="69"/>
      <c r="I564" s="615"/>
    </row>
    <row r="565" spans="1:9" s="4" customFormat="1">
      <c r="A565" s="36"/>
      <c r="B565" s="36"/>
      <c r="C565" s="36"/>
      <c r="D565" s="36"/>
      <c r="E565" s="36"/>
      <c r="F565" s="36"/>
      <c r="G565" s="36"/>
      <c r="H565" s="50"/>
      <c r="I565" s="36"/>
    </row>
    <row r="566" spans="1:9" s="4" customFormat="1">
      <c r="A566" s="36"/>
      <c r="B566" s="36"/>
      <c r="C566" s="36"/>
      <c r="D566" s="36"/>
      <c r="E566" s="36"/>
      <c r="F566" s="36"/>
      <c r="G566" s="59"/>
      <c r="H566" s="70"/>
      <c r="I566" s="50"/>
    </row>
    <row r="567" spans="1:9" s="4" customFormat="1">
      <c r="A567" s="36"/>
      <c r="B567" s="36"/>
      <c r="C567" s="36"/>
      <c r="D567" s="36"/>
      <c r="E567" s="36"/>
      <c r="F567" s="36"/>
      <c r="G567" s="59"/>
      <c r="H567" s="70"/>
      <c r="I567" s="50"/>
    </row>
    <row r="568" spans="1:9" s="4" customFormat="1">
      <c r="A568" s="36"/>
      <c r="B568" s="36"/>
      <c r="C568" s="36"/>
      <c r="D568" s="36"/>
      <c r="E568" s="36"/>
      <c r="F568" s="36"/>
      <c r="G568" s="60"/>
      <c r="H568" s="70"/>
      <c r="I568" s="50"/>
    </row>
    <row r="569" spans="1:9" s="4" customFormat="1">
      <c r="A569" s="36"/>
      <c r="B569" s="36"/>
      <c r="C569" s="36"/>
      <c r="D569" s="36"/>
      <c r="E569" s="36"/>
      <c r="F569" s="36"/>
      <c r="G569" s="60"/>
      <c r="H569" s="70"/>
      <c r="I569" s="50"/>
    </row>
    <row r="570" spans="1:9" s="4" customFormat="1">
      <c r="A570" s="36"/>
      <c r="B570" s="36"/>
      <c r="C570" s="36"/>
      <c r="D570" s="36"/>
      <c r="E570" s="36"/>
      <c r="F570" s="36"/>
      <c r="G570" s="60"/>
      <c r="H570" s="70"/>
      <c r="I570" s="50"/>
    </row>
    <row r="571" spans="1:9" s="4" customFormat="1">
      <c r="A571" s="36"/>
      <c r="B571" s="36"/>
      <c r="C571" s="36"/>
      <c r="D571" s="36"/>
      <c r="E571" s="36"/>
      <c r="F571" s="36"/>
      <c r="G571" s="60"/>
      <c r="H571" s="70"/>
      <c r="I571" s="50"/>
    </row>
    <row r="572" spans="1:9" s="4" customFormat="1">
      <c r="A572" s="36"/>
      <c r="B572" s="36"/>
      <c r="C572" s="36"/>
      <c r="D572" s="36"/>
      <c r="E572" s="36"/>
      <c r="F572" s="36"/>
      <c r="G572" s="36"/>
      <c r="H572" s="36"/>
      <c r="I572" s="36"/>
    </row>
    <row r="573" spans="1:9" s="4" customFormat="1">
      <c r="A573" s="68"/>
      <c r="B573" s="68"/>
      <c r="C573" s="68"/>
      <c r="D573" s="68"/>
      <c r="E573" s="68"/>
      <c r="F573" s="68"/>
      <c r="G573" s="622"/>
      <c r="H573" s="71"/>
      <c r="I573" s="71"/>
    </row>
    <row r="574" spans="1:9" s="4" customFormat="1">
      <c r="A574" s="68"/>
      <c r="B574" s="68"/>
      <c r="C574" s="68"/>
      <c r="D574" s="68"/>
      <c r="E574" s="68"/>
      <c r="F574" s="68"/>
      <c r="G574" s="622"/>
      <c r="H574" s="71"/>
      <c r="I574" s="71"/>
    </row>
    <row r="575" spans="1:9" s="4" customFormat="1">
      <c r="A575" s="61"/>
      <c r="B575" s="36"/>
      <c r="C575" s="62"/>
      <c r="D575" s="62"/>
      <c r="E575" s="62"/>
      <c r="F575" s="36"/>
      <c r="G575" s="62"/>
      <c r="H575" s="72"/>
      <c r="I575" s="50"/>
    </row>
    <row r="576" spans="1:9" s="4" customFormat="1">
      <c r="A576" s="36"/>
      <c r="B576" s="36"/>
      <c r="C576" s="36"/>
      <c r="D576" s="36"/>
      <c r="E576" s="36"/>
      <c r="F576" s="36"/>
      <c r="G576" s="50"/>
      <c r="H576" s="50"/>
      <c r="I576" s="70"/>
    </row>
    <row r="577" spans="1:9" s="4" customFormat="1">
      <c r="A577" s="36"/>
      <c r="B577" s="36"/>
      <c r="C577" s="36"/>
      <c r="D577" s="36"/>
      <c r="E577" s="36"/>
      <c r="F577" s="36"/>
      <c r="G577" s="70"/>
      <c r="H577" s="50"/>
      <c r="I577" s="50"/>
    </row>
    <row r="578" spans="1:9" s="4" customFormat="1">
      <c r="A578" s="36"/>
      <c r="B578" s="36"/>
      <c r="C578" s="36"/>
      <c r="D578" s="36"/>
      <c r="E578" s="36"/>
      <c r="F578" s="36"/>
      <c r="G578" s="47"/>
      <c r="H578" s="50"/>
      <c r="I578" s="50"/>
    </row>
    <row r="579" spans="1:9" s="4" customFormat="1">
      <c r="A579" s="36"/>
      <c r="B579" s="36"/>
      <c r="C579" s="36"/>
      <c r="D579" s="36"/>
      <c r="E579" s="36"/>
      <c r="F579" s="36"/>
      <c r="G579" s="73"/>
      <c r="H579" s="50"/>
      <c r="I579" s="50"/>
    </row>
    <row r="580" spans="1:9" s="4" customFormat="1">
      <c r="A580" s="36"/>
      <c r="B580" s="36"/>
      <c r="C580" s="36"/>
      <c r="D580" s="36"/>
      <c r="E580" s="36"/>
      <c r="F580" s="50"/>
      <c r="G580" s="36"/>
      <c r="H580" s="36"/>
      <c r="I580" s="36"/>
    </row>
    <row r="581" spans="1:9" s="4" customFormat="1">
      <c r="A581" s="63"/>
      <c r="B581" s="36"/>
      <c r="C581" s="36"/>
      <c r="D581" s="36"/>
      <c r="E581" s="36"/>
      <c r="F581" s="50"/>
      <c r="G581" s="36"/>
      <c r="H581" s="36"/>
      <c r="I581" s="36"/>
    </row>
    <row r="582" spans="1:9" s="4" customFormat="1">
      <c r="A582" s="36"/>
      <c r="B582" s="74"/>
      <c r="C582" s="36"/>
      <c r="D582" s="36"/>
      <c r="E582" s="36"/>
      <c r="F582" s="36"/>
      <c r="G582" s="36"/>
      <c r="H582" s="36"/>
      <c r="I582" s="36"/>
    </row>
    <row r="583" spans="1:9" s="4" customFormat="1">
      <c r="A583" s="619"/>
      <c r="B583" s="456"/>
      <c r="C583" s="456"/>
      <c r="D583" s="456"/>
      <c r="E583" s="619"/>
      <c r="F583" s="619"/>
      <c r="G583" s="619"/>
      <c r="H583" s="619"/>
      <c r="I583" s="619"/>
    </row>
    <row r="584" spans="1:9" s="4" customFormat="1">
      <c r="A584" s="619"/>
      <c r="B584" s="456"/>
      <c r="C584" s="456"/>
      <c r="D584" s="456"/>
      <c r="E584" s="456"/>
      <c r="F584" s="456"/>
      <c r="G584" s="620"/>
      <c r="H584" s="620"/>
      <c r="I584" s="620"/>
    </row>
    <row r="585" spans="1:9" s="4" customFormat="1">
      <c r="A585" s="64"/>
      <c r="B585" s="76"/>
      <c r="C585" s="50"/>
      <c r="D585" s="50"/>
      <c r="E585" s="50"/>
      <c r="F585" s="65"/>
      <c r="G585" s="50"/>
      <c r="H585" s="50"/>
      <c r="I585" s="55"/>
    </row>
    <row r="586" spans="1:9" s="4" customFormat="1">
      <c r="A586" s="64"/>
      <c r="B586" s="76"/>
      <c r="C586" s="50"/>
      <c r="D586" s="50"/>
      <c r="E586" s="50"/>
      <c r="F586" s="65"/>
      <c r="G586" s="50"/>
      <c r="H586" s="54"/>
      <c r="I586" s="55"/>
    </row>
    <row r="587" spans="1:9" s="4" customFormat="1">
      <c r="A587" s="64"/>
      <c r="B587" s="76"/>
      <c r="C587" s="50"/>
      <c r="D587" s="50"/>
      <c r="E587" s="50"/>
      <c r="F587" s="65"/>
      <c r="G587" s="50"/>
      <c r="H587" s="54"/>
      <c r="I587" s="36"/>
    </row>
    <row r="588" spans="1:9" s="4" customFormat="1">
      <c r="A588" s="64"/>
      <c r="B588" s="76"/>
      <c r="C588" s="50"/>
      <c r="D588" s="50"/>
      <c r="E588" s="50"/>
      <c r="F588" s="65"/>
      <c r="G588" s="50"/>
      <c r="H588" s="54"/>
      <c r="I588" s="55"/>
    </row>
    <row r="589" spans="1:9" s="4" customFormat="1">
      <c r="A589" s="64"/>
      <c r="B589" s="77"/>
      <c r="C589" s="50"/>
      <c r="D589" s="50"/>
      <c r="E589" s="50"/>
      <c r="F589" s="65"/>
      <c r="G589" s="50"/>
      <c r="H589" s="54"/>
      <c r="I589" s="55"/>
    </row>
    <row r="590" spans="1:9" s="4" customFormat="1">
      <c r="A590" s="64"/>
      <c r="B590" s="77"/>
      <c r="C590" s="50"/>
      <c r="D590" s="50"/>
      <c r="E590" s="50"/>
      <c r="F590" s="65"/>
      <c r="G590" s="50"/>
      <c r="H590" s="54"/>
      <c r="I590" s="55"/>
    </row>
    <row r="591" spans="1:9" s="4" customFormat="1">
      <c r="A591" s="64"/>
      <c r="B591" s="77"/>
      <c r="C591" s="50"/>
      <c r="D591" s="50"/>
      <c r="E591" s="50"/>
      <c r="F591" s="65"/>
      <c r="G591" s="50"/>
      <c r="H591" s="54"/>
      <c r="I591" s="55"/>
    </row>
    <row r="592" spans="1:9" s="4" customFormat="1">
      <c r="A592" s="64"/>
      <c r="B592" s="77"/>
      <c r="C592" s="50"/>
      <c r="D592" s="50"/>
      <c r="E592" s="50"/>
      <c r="F592" s="65"/>
      <c r="G592" s="50"/>
      <c r="H592" s="54"/>
      <c r="I592" s="55"/>
    </row>
    <row r="593" spans="1:9" s="4" customFormat="1">
      <c r="A593" s="64"/>
      <c r="B593" s="77"/>
      <c r="C593" s="50"/>
      <c r="D593" s="50"/>
      <c r="E593" s="50"/>
      <c r="F593" s="65"/>
      <c r="G593" s="50"/>
      <c r="H593" s="54"/>
      <c r="I593" s="55"/>
    </row>
    <row r="594" spans="1:9" s="4" customFormat="1">
      <c r="A594" s="64"/>
      <c r="B594" s="77"/>
      <c r="C594" s="50"/>
      <c r="D594" s="50"/>
      <c r="E594" s="50"/>
      <c r="F594" s="65"/>
      <c r="G594" s="50"/>
      <c r="H594" s="54"/>
      <c r="I594" s="55"/>
    </row>
    <row r="595" spans="1:9" s="4" customFormat="1">
      <c r="A595" s="64"/>
      <c r="B595" s="77"/>
      <c r="C595" s="50"/>
      <c r="D595" s="50"/>
      <c r="E595" s="50"/>
      <c r="F595" s="65"/>
      <c r="G595" s="50"/>
      <c r="H595" s="54"/>
      <c r="I595" s="55"/>
    </row>
    <row r="596" spans="1:9" s="4" customFormat="1">
      <c r="A596" s="64"/>
      <c r="B596" s="77"/>
      <c r="C596" s="50"/>
      <c r="D596" s="50"/>
      <c r="E596" s="50"/>
      <c r="F596" s="65"/>
      <c r="G596" s="50"/>
      <c r="H596" s="54"/>
      <c r="I596" s="55"/>
    </row>
    <row r="597" spans="1:9" s="4" customFormat="1">
      <c r="A597" s="64"/>
      <c r="B597" s="77"/>
      <c r="C597" s="50"/>
      <c r="D597" s="50"/>
      <c r="E597" s="50"/>
      <c r="F597" s="65"/>
      <c r="G597" s="50"/>
      <c r="H597" s="54"/>
      <c r="I597" s="55"/>
    </row>
    <row r="598" spans="1:9" s="4" customFormat="1">
      <c r="A598" s="64"/>
      <c r="B598" s="77"/>
      <c r="C598" s="50"/>
      <c r="D598" s="50"/>
      <c r="E598" s="50"/>
      <c r="F598" s="65"/>
      <c r="G598" s="50"/>
      <c r="H598" s="54"/>
      <c r="I598" s="55"/>
    </row>
    <row r="599" spans="1:9" s="4" customFormat="1">
      <c r="A599" s="64"/>
      <c r="B599" s="77"/>
      <c r="C599" s="50"/>
      <c r="D599" s="50"/>
      <c r="E599" s="50"/>
      <c r="F599" s="65"/>
      <c r="G599" s="50"/>
      <c r="H599" s="54"/>
      <c r="I599" s="55"/>
    </row>
    <row r="600" spans="1:9" s="4" customFormat="1">
      <c r="A600" s="64"/>
      <c r="B600" s="77"/>
      <c r="C600" s="50"/>
      <c r="D600" s="50"/>
      <c r="E600" s="50"/>
      <c r="F600" s="65"/>
      <c r="G600" s="50"/>
      <c r="H600" s="54"/>
      <c r="I600" s="55"/>
    </row>
    <row r="601" spans="1:9" s="4" customFormat="1">
      <c r="A601" s="64"/>
      <c r="B601" s="77"/>
      <c r="C601" s="50"/>
      <c r="D601" s="50"/>
      <c r="E601" s="50"/>
      <c r="F601" s="65"/>
      <c r="G601" s="50"/>
      <c r="H601" s="54"/>
      <c r="I601" s="55"/>
    </row>
    <row r="602" spans="1:9" s="4" customFormat="1">
      <c r="A602" s="64"/>
      <c r="B602" s="77"/>
      <c r="C602" s="50"/>
      <c r="D602" s="50"/>
      <c r="E602" s="50"/>
      <c r="F602" s="65"/>
      <c r="G602" s="50"/>
      <c r="H602" s="54"/>
      <c r="I602" s="55"/>
    </row>
    <row r="603" spans="1:9" s="4" customFormat="1">
      <c r="A603" s="64"/>
      <c r="B603" s="77"/>
      <c r="C603" s="50"/>
      <c r="D603" s="50"/>
      <c r="E603" s="50"/>
      <c r="F603" s="65"/>
      <c r="G603" s="50"/>
      <c r="H603" s="54"/>
      <c r="I603" s="55"/>
    </row>
    <row r="604" spans="1:9" s="4" customFormat="1">
      <c r="A604" s="64"/>
      <c r="B604" s="77"/>
      <c r="C604" s="50"/>
      <c r="D604" s="50"/>
      <c r="E604" s="50"/>
      <c r="F604" s="65"/>
      <c r="G604" s="50"/>
      <c r="H604" s="54"/>
      <c r="I604" s="55"/>
    </row>
    <row r="605" spans="1:9" s="4" customFormat="1">
      <c r="A605" s="64"/>
      <c r="B605" s="77"/>
      <c r="C605" s="50"/>
      <c r="D605" s="50"/>
      <c r="E605" s="50"/>
      <c r="F605" s="65"/>
      <c r="G605" s="50"/>
      <c r="H605" s="54"/>
      <c r="I605" s="55"/>
    </row>
    <row r="606" spans="1:9" s="4" customFormat="1">
      <c r="A606" s="64"/>
      <c r="B606" s="77"/>
      <c r="C606" s="50"/>
      <c r="D606" s="50"/>
      <c r="E606" s="50"/>
      <c r="F606" s="65"/>
      <c r="G606" s="50"/>
      <c r="H606" s="54"/>
      <c r="I606" s="55"/>
    </row>
    <row r="607" spans="1:9" s="4" customFormat="1">
      <c r="A607" s="64"/>
      <c r="B607" s="77"/>
      <c r="C607" s="50"/>
      <c r="D607" s="50"/>
      <c r="E607" s="50"/>
      <c r="F607" s="65"/>
      <c r="G607" s="50"/>
      <c r="H607" s="54"/>
      <c r="I607" s="55"/>
    </row>
    <row r="608" spans="1:9" s="4" customFormat="1">
      <c r="A608" s="64"/>
      <c r="B608" s="77"/>
      <c r="C608" s="50"/>
      <c r="D608" s="50"/>
      <c r="E608" s="50"/>
      <c r="F608" s="65"/>
      <c r="G608" s="50"/>
      <c r="H608" s="54"/>
      <c r="I608" s="55"/>
    </row>
    <row r="609" spans="1:9" s="4" customFormat="1">
      <c r="A609" s="64"/>
      <c r="B609" s="77"/>
      <c r="C609" s="50"/>
      <c r="D609" s="50"/>
      <c r="E609" s="50"/>
      <c r="F609" s="65"/>
      <c r="G609" s="50"/>
      <c r="H609" s="54"/>
      <c r="I609" s="55"/>
    </row>
    <row r="610" spans="1:9" s="4" customFormat="1">
      <c r="A610" s="82"/>
      <c r="B610" s="56"/>
      <c r="C610" s="56"/>
      <c r="D610" s="56"/>
      <c r="E610" s="56"/>
      <c r="F610" s="56"/>
      <c r="G610" s="56"/>
      <c r="H610" s="56"/>
      <c r="I610" s="56"/>
    </row>
    <row r="611" spans="1:9" s="4" customFormat="1">
      <c r="A611" s="36"/>
      <c r="B611" s="50"/>
      <c r="C611" s="50"/>
      <c r="D611" s="50"/>
      <c r="E611" s="50"/>
      <c r="F611" s="36"/>
      <c r="G611" s="36"/>
      <c r="H611" s="36"/>
      <c r="I611" s="36"/>
    </row>
    <row r="612" spans="1:9" s="4" customFormat="1">
      <c r="A612" s="36"/>
      <c r="B612" s="36"/>
      <c r="C612" s="78"/>
      <c r="D612" s="78"/>
      <c r="E612" s="79"/>
      <c r="F612" s="80"/>
      <c r="G612" s="78"/>
      <c r="H612" s="36"/>
      <c r="I612" s="81"/>
    </row>
    <row r="613" spans="1:9" s="4" customFormat="1" ht="12"/>
    <row r="614" spans="1:9" s="4" customFormat="1" ht="20.25">
      <c r="A614" s="66"/>
      <c r="B614" s="67"/>
      <c r="G614" s="57"/>
      <c r="H614" s="57"/>
      <c r="I614" s="57"/>
    </row>
    <row r="615" spans="1:9" s="4" customFormat="1" ht="20.25">
      <c r="A615" s="57"/>
      <c r="B615" s="57"/>
      <c r="C615" s="57"/>
      <c r="D615" s="57"/>
      <c r="E615" s="57"/>
      <c r="F615" s="57"/>
      <c r="G615" s="57"/>
      <c r="H615" s="57"/>
      <c r="I615" s="57"/>
    </row>
    <row r="616" spans="1:9" s="4" customFormat="1" ht="31.5" customHeight="1">
      <c r="A616" s="618"/>
      <c r="B616" s="668"/>
      <c r="C616" s="668"/>
      <c r="D616" s="457"/>
      <c r="E616" s="57"/>
      <c r="F616" s="57"/>
      <c r="G616" s="57"/>
      <c r="H616" s="57"/>
      <c r="I616" s="57"/>
    </row>
    <row r="617" spans="1:9" s="4" customFormat="1">
      <c r="A617" s="68"/>
      <c r="B617" s="68"/>
      <c r="C617" s="68"/>
      <c r="D617" s="68"/>
      <c r="E617" s="68"/>
      <c r="F617" s="68"/>
      <c r="G617" s="69"/>
      <c r="H617" s="69"/>
      <c r="I617" s="615"/>
    </row>
    <row r="618" spans="1:9" s="4" customFormat="1">
      <c r="A618" s="68"/>
      <c r="B618" s="68"/>
      <c r="C618" s="68"/>
      <c r="D618" s="68"/>
      <c r="E618" s="68"/>
      <c r="F618" s="68"/>
      <c r="G618" s="69"/>
      <c r="H618" s="69"/>
      <c r="I618" s="615"/>
    </row>
    <row r="619" spans="1:9" s="4" customFormat="1">
      <c r="A619" s="36"/>
      <c r="B619" s="36"/>
      <c r="C619" s="36"/>
      <c r="D619" s="36"/>
      <c r="E619" s="36"/>
      <c r="F619" s="36"/>
      <c r="G619" s="36"/>
      <c r="H619" s="50"/>
      <c r="I619" s="36"/>
    </row>
    <row r="620" spans="1:9" s="4" customFormat="1">
      <c r="A620" s="36"/>
      <c r="B620" s="36"/>
      <c r="C620" s="36"/>
      <c r="D620" s="36"/>
      <c r="E620" s="36"/>
      <c r="F620" s="36"/>
      <c r="G620" s="59"/>
      <c r="H620" s="70"/>
      <c r="I620" s="50"/>
    </row>
    <row r="621" spans="1:9" s="4" customFormat="1">
      <c r="A621" s="36"/>
      <c r="B621" s="36"/>
      <c r="C621" s="36"/>
      <c r="D621" s="36"/>
      <c r="E621" s="36"/>
      <c r="F621" s="36"/>
      <c r="G621" s="59"/>
      <c r="H621" s="70"/>
      <c r="I621" s="50"/>
    </row>
    <row r="622" spans="1:9" s="4" customFormat="1">
      <c r="A622" s="36"/>
      <c r="B622" s="36"/>
      <c r="C622" s="36"/>
      <c r="D622" s="36"/>
      <c r="E622" s="36"/>
      <c r="F622" s="36"/>
      <c r="G622" s="60"/>
      <c r="H622" s="70"/>
      <c r="I622" s="50"/>
    </row>
    <row r="623" spans="1:9" s="4" customFormat="1">
      <c r="A623" s="36"/>
      <c r="B623" s="36"/>
      <c r="C623" s="36"/>
      <c r="D623" s="36"/>
      <c r="E623" s="36"/>
      <c r="F623" s="36"/>
      <c r="G623" s="60"/>
      <c r="H623" s="70"/>
      <c r="I623" s="50"/>
    </row>
    <row r="624" spans="1:9" s="4" customFormat="1">
      <c r="A624" s="36"/>
      <c r="B624" s="36"/>
      <c r="C624" s="36"/>
      <c r="D624" s="36"/>
      <c r="E624" s="36"/>
      <c r="F624" s="36"/>
      <c r="G624" s="60"/>
      <c r="H624" s="70"/>
      <c r="I624" s="50"/>
    </row>
    <row r="625" spans="1:9" s="4" customFormat="1">
      <c r="A625" s="36"/>
      <c r="B625" s="36"/>
      <c r="C625" s="36"/>
      <c r="D625" s="36"/>
      <c r="E625" s="36"/>
      <c r="F625" s="36"/>
      <c r="G625" s="60"/>
      <c r="H625" s="70"/>
      <c r="I625" s="50"/>
    </row>
    <row r="626" spans="1:9" s="4" customFormat="1">
      <c r="A626" s="36"/>
      <c r="B626" s="36"/>
      <c r="C626" s="36"/>
      <c r="D626" s="36"/>
      <c r="E626" s="36"/>
      <c r="F626" s="36"/>
      <c r="G626" s="36"/>
      <c r="H626" s="36"/>
      <c r="I626" s="36"/>
    </row>
    <row r="627" spans="1:9" s="4" customFormat="1">
      <c r="A627" s="68"/>
      <c r="B627" s="68"/>
      <c r="C627" s="68"/>
      <c r="D627" s="68"/>
      <c r="E627" s="68"/>
      <c r="F627" s="68"/>
      <c r="G627" s="622"/>
      <c r="H627" s="71"/>
      <c r="I627" s="71"/>
    </row>
    <row r="628" spans="1:9" s="4" customFormat="1">
      <c r="A628" s="68"/>
      <c r="B628" s="68"/>
      <c r="C628" s="68"/>
      <c r="D628" s="68"/>
      <c r="E628" s="68"/>
      <c r="F628" s="68"/>
      <c r="G628" s="622"/>
      <c r="H628" s="71"/>
      <c r="I628" s="71"/>
    </row>
    <row r="629" spans="1:9" s="4" customFormat="1">
      <c r="A629" s="61"/>
      <c r="B629" s="36"/>
      <c r="C629" s="62"/>
      <c r="D629" s="62"/>
      <c r="E629" s="62"/>
      <c r="F629" s="36"/>
      <c r="G629" s="62"/>
      <c r="H629" s="72"/>
      <c r="I629" s="50"/>
    </row>
    <row r="630" spans="1:9" s="4" customFormat="1">
      <c r="A630" s="36"/>
      <c r="B630" s="36"/>
      <c r="C630" s="36"/>
      <c r="D630" s="36"/>
      <c r="E630" s="36"/>
      <c r="F630" s="36"/>
      <c r="G630" s="50"/>
      <c r="H630" s="50"/>
      <c r="I630" s="70"/>
    </row>
    <row r="631" spans="1:9" s="4" customFormat="1">
      <c r="A631" s="36"/>
      <c r="B631" s="36"/>
      <c r="C631" s="36"/>
      <c r="D631" s="36"/>
      <c r="E631" s="36"/>
      <c r="F631" s="36"/>
      <c r="G631" s="70"/>
      <c r="H631" s="50"/>
      <c r="I631" s="50"/>
    </row>
    <row r="632" spans="1:9" s="4" customFormat="1">
      <c r="A632" s="36"/>
      <c r="B632" s="36"/>
      <c r="C632" s="36"/>
      <c r="D632" s="36"/>
      <c r="E632" s="36"/>
      <c r="F632" s="36"/>
      <c r="G632" s="47"/>
      <c r="H632" s="50"/>
      <c r="I632" s="50"/>
    </row>
    <row r="633" spans="1:9" s="4" customFormat="1">
      <c r="A633" s="36"/>
      <c r="B633" s="36"/>
      <c r="C633" s="36"/>
      <c r="D633" s="36"/>
      <c r="E633" s="36"/>
      <c r="F633" s="36"/>
      <c r="G633" s="73"/>
      <c r="H633" s="50"/>
      <c r="I633" s="50"/>
    </row>
    <row r="634" spans="1:9" s="4" customFormat="1">
      <c r="A634" s="36"/>
      <c r="B634" s="36"/>
      <c r="C634" s="36"/>
      <c r="D634" s="36"/>
      <c r="E634" s="36"/>
      <c r="F634" s="50"/>
      <c r="G634" s="36"/>
      <c r="H634" s="36"/>
      <c r="I634" s="36"/>
    </row>
    <row r="635" spans="1:9" s="4" customFormat="1">
      <c r="A635" s="63"/>
      <c r="B635" s="36"/>
      <c r="C635" s="36"/>
      <c r="D635" s="36"/>
      <c r="E635" s="36"/>
      <c r="F635" s="50"/>
      <c r="G635" s="36"/>
      <c r="H635" s="36"/>
      <c r="I635" s="36"/>
    </row>
    <row r="636" spans="1:9" s="4" customFormat="1">
      <c r="A636" s="36"/>
      <c r="B636" s="74"/>
      <c r="C636" s="36"/>
      <c r="D636" s="36"/>
      <c r="E636" s="36"/>
      <c r="F636" s="36"/>
      <c r="G636" s="36"/>
      <c r="H636" s="36"/>
      <c r="I636" s="36"/>
    </row>
    <row r="637" spans="1:9" s="4" customFormat="1">
      <c r="A637" s="619"/>
      <c r="B637" s="456"/>
      <c r="C637" s="456"/>
      <c r="D637" s="456"/>
      <c r="E637" s="619"/>
      <c r="F637" s="619"/>
      <c r="G637" s="619"/>
      <c r="H637" s="619"/>
      <c r="I637" s="619"/>
    </row>
    <row r="638" spans="1:9" s="4" customFormat="1">
      <c r="A638" s="619"/>
      <c r="B638" s="456"/>
      <c r="C638" s="456"/>
      <c r="D638" s="456"/>
      <c r="E638" s="456"/>
      <c r="F638" s="456"/>
      <c r="G638" s="620"/>
      <c r="H638" s="620"/>
      <c r="I638" s="620"/>
    </row>
    <row r="639" spans="1:9" s="4" customFormat="1">
      <c r="A639" s="64"/>
      <c r="B639" s="76"/>
      <c r="C639" s="50"/>
      <c r="D639" s="50"/>
      <c r="E639" s="50"/>
      <c r="F639" s="65"/>
      <c r="G639" s="50"/>
      <c r="H639" s="50"/>
      <c r="I639" s="55"/>
    </row>
    <row r="640" spans="1:9" s="4" customFormat="1">
      <c r="A640" s="64"/>
      <c r="B640" s="76"/>
      <c r="C640" s="50"/>
      <c r="D640" s="50"/>
      <c r="E640" s="50"/>
      <c r="F640" s="65"/>
      <c r="G640" s="50"/>
      <c r="H640" s="54"/>
      <c r="I640" s="55"/>
    </row>
    <row r="641" spans="1:9" s="4" customFormat="1">
      <c r="A641" s="64"/>
      <c r="B641" s="76"/>
      <c r="C641" s="50"/>
      <c r="D641" s="50"/>
      <c r="E641" s="50"/>
      <c r="F641" s="65"/>
      <c r="G641" s="50"/>
      <c r="H641" s="54"/>
      <c r="I641" s="36"/>
    </row>
    <row r="642" spans="1:9" s="4" customFormat="1">
      <c r="A642" s="64"/>
      <c r="B642" s="76"/>
      <c r="C642" s="50"/>
      <c r="D642" s="50"/>
      <c r="E642" s="50"/>
      <c r="F642" s="65"/>
      <c r="G642" s="50"/>
      <c r="H642" s="54"/>
      <c r="I642" s="55"/>
    </row>
    <row r="643" spans="1:9" s="4" customFormat="1">
      <c r="A643" s="64"/>
      <c r="B643" s="77"/>
      <c r="C643" s="50"/>
      <c r="D643" s="50"/>
      <c r="E643" s="50"/>
      <c r="F643" s="65"/>
      <c r="G643" s="50"/>
      <c r="H643" s="54"/>
      <c r="I643" s="55"/>
    </row>
    <row r="644" spans="1:9" s="4" customFormat="1">
      <c r="A644" s="64"/>
      <c r="B644" s="77"/>
      <c r="C644" s="50"/>
      <c r="D644" s="50"/>
      <c r="E644" s="50"/>
      <c r="F644" s="65"/>
      <c r="G644" s="50"/>
      <c r="H644" s="54"/>
      <c r="I644" s="55"/>
    </row>
    <row r="645" spans="1:9" s="4" customFormat="1">
      <c r="A645" s="64"/>
      <c r="B645" s="77"/>
      <c r="C645" s="50"/>
      <c r="D645" s="50"/>
      <c r="E645" s="50"/>
      <c r="F645" s="65"/>
      <c r="G645" s="50"/>
      <c r="H645" s="54"/>
      <c r="I645" s="55"/>
    </row>
    <row r="646" spans="1:9" s="4" customFormat="1">
      <c r="A646" s="64"/>
      <c r="B646" s="77"/>
      <c r="C646" s="50"/>
      <c r="D646" s="50"/>
      <c r="E646" s="50"/>
      <c r="F646" s="65"/>
      <c r="G646" s="50"/>
      <c r="H646" s="54"/>
      <c r="I646" s="55"/>
    </row>
    <row r="647" spans="1:9" s="4" customFormat="1">
      <c r="A647" s="64"/>
      <c r="B647" s="77"/>
      <c r="C647" s="50"/>
      <c r="D647" s="50"/>
      <c r="E647" s="50"/>
      <c r="F647" s="65"/>
      <c r="G647" s="50"/>
      <c r="H647" s="54"/>
      <c r="I647" s="55"/>
    </row>
    <row r="648" spans="1:9" s="4" customFormat="1">
      <c r="A648" s="64"/>
      <c r="B648" s="77"/>
      <c r="C648" s="50"/>
      <c r="D648" s="50"/>
      <c r="E648" s="50"/>
      <c r="F648" s="65"/>
      <c r="G648" s="50"/>
      <c r="H648" s="54"/>
      <c r="I648" s="55"/>
    </row>
    <row r="649" spans="1:9" s="4" customFormat="1">
      <c r="A649" s="64"/>
      <c r="B649" s="77"/>
      <c r="C649" s="50"/>
      <c r="D649" s="50"/>
      <c r="E649" s="50"/>
      <c r="F649" s="65"/>
      <c r="G649" s="50"/>
      <c r="H649" s="54"/>
      <c r="I649" s="55"/>
    </row>
    <row r="650" spans="1:9" s="4" customFormat="1">
      <c r="A650" s="64"/>
      <c r="B650" s="77"/>
      <c r="C650" s="50"/>
      <c r="D650" s="50"/>
      <c r="E650" s="50"/>
      <c r="F650" s="65"/>
      <c r="G650" s="50"/>
      <c r="H650" s="54"/>
      <c r="I650" s="55"/>
    </row>
    <row r="651" spans="1:9" s="4" customFormat="1">
      <c r="A651" s="64"/>
      <c r="B651" s="77"/>
      <c r="C651" s="50"/>
      <c r="D651" s="50"/>
      <c r="E651" s="50"/>
      <c r="F651" s="65"/>
      <c r="G651" s="50"/>
      <c r="H651" s="54"/>
      <c r="I651" s="55"/>
    </row>
    <row r="652" spans="1:9" s="4" customFormat="1">
      <c r="A652" s="64"/>
      <c r="B652" s="77"/>
      <c r="C652" s="50"/>
      <c r="D652" s="50"/>
      <c r="E652" s="50"/>
      <c r="F652" s="65"/>
      <c r="G652" s="50"/>
      <c r="H652" s="54"/>
      <c r="I652" s="55"/>
    </row>
    <row r="653" spans="1:9" s="4" customFormat="1">
      <c r="A653" s="64"/>
      <c r="B653" s="77"/>
      <c r="C653" s="50"/>
      <c r="D653" s="50"/>
      <c r="E653" s="50"/>
      <c r="F653" s="65"/>
      <c r="G653" s="50"/>
      <c r="H653" s="54"/>
      <c r="I653" s="55"/>
    </row>
    <row r="654" spans="1:9" s="4" customFormat="1">
      <c r="A654" s="64"/>
      <c r="B654" s="77"/>
      <c r="C654" s="50"/>
      <c r="D654" s="50"/>
      <c r="E654" s="50"/>
      <c r="F654" s="65"/>
      <c r="G654" s="50"/>
      <c r="H654" s="54"/>
      <c r="I654" s="55"/>
    </row>
    <row r="655" spans="1:9" s="4" customFormat="1">
      <c r="A655" s="64"/>
      <c r="B655" s="77"/>
      <c r="C655" s="50"/>
      <c r="D655" s="50"/>
      <c r="E655" s="50"/>
      <c r="F655" s="65"/>
      <c r="G655" s="50"/>
      <c r="H655" s="54"/>
      <c r="I655" s="55"/>
    </row>
    <row r="656" spans="1:9" s="4" customFormat="1">
      <c r="A656" s="64"/>
      <c r="B656" s="77"/>
      <c r="C656" s="50"/>
      <c r="D656" s="50"/>
      <c r="E656" s="50"/>
      <c r="F656" s="65"/>
      <c r="G656" s="50"/>
      <c r="H656" s="54"/>
      <c r="I656" s="55"/>
    </row>
    <row r="657" spans="1:9" s="4" customFormat="1">
      <c r="A657" s="64"/>
      <c r="B657" s="77"/>
      <c r="C657" s="50"/>
      <c r="D657" s="50"/>
      <c r="E657" s="50"/>
      <c r="F657" s="65"/>
      <c r="G657" s="50"/>
      <c r="H657" s="54"/>
      <c r="I657" s="55"/>
    </row>
    <row r="658" spans="1:9" s="4" customFormat="1">
      <c r="A658" s="64"/>
      <c r="B658" s="77"/>
      <c r="C658" s="50"/>
      <c r="D658" s="50"/>
      <c r="E658" s="50"/>
      <c r="F658" s="65"/>
      <c r="G658" s="50"/>
      <c r="H658" s="54"/>
      <c r="I658" s="55"/>
    </row>
    <row r="659" spans="1:9" s="4" customFormat="1">
      <c r="A659" s="64"/>
      <c r="B659" s="77"/>
      <c r="C659" s="50"/>
      <c r="D659" s="50"/>
      <c r="E659" s="50"/>
      <c r="F659" s="65"/>
      <c r="G659" s="50"/>
      <c r="H659" s="54"/>
      <c r="I659" s="55"/>
    </row>
    <row r="660" spans="1:9" s="4" customFormat="1">
      <c r="A660" s="64"/>
      <c r="B660" s="77"/>
      <c r="C660" s="50"/>
      <c r="D660" s="50"/>
      <c r="E660" s="50"/>
      <c r="F660" s="65"/>
      <c r="G660" s="50"/>
      <c r="H660" s="54"/>
      <c r="I660" s="55"/>
    </row>
    <row r="661" spans="1:9" s="4" customFormat="1">
      <c r="A661" s="64"/>
      <c r="B661" s="77"/>
      <c r="C661" s="50"/>
      <c r="D661" s="50"/>
      <c r="E661" s="50"/>
      <c r="F661" s="65"/>
      <c r="G661" s="50"/>
      <c r="H661" s="54"/>
      <c r="I661" s="55"/>
    </row>
    <row r="662" spans="1:9" s="4" customFormat="1">
      <c r="A662" s="64"/>
      <c r="B662" s="77"/>
      <c r="C662" s="50"/>
      <c r="D662" s="50"/>
      <c r="E662" s="50"/>
      <c r="F662" s="65"/>
      <c r="G662" s="50"/>
      <c r="H662" s="54"/>
      <c r="I662" s="55"/>
    </row>
    <row r="663" spans="1:9" s="4" customFormat="1">
      <c r="A663" s="64"/>
      <c r="B663" s="77"/>
      <c r="C663" s="50"/>
      <c r="D663" s="50"/>
      <c r="E663" s="50"/>
      <c r="F663" s="65"/>
      <c r="G663" s="50"/>
      <c r="H663" s="54"/>
      <c r="I663" s="55"/>
    </row>
    <row r="664" spans="1:9" s="4" customFormat="1">
      <c r="A664" s="82"/>
      <c r="B664" s="56"/>
      <c r="C664" s="56"/>
      <c r="D664" s="56"/>
      <c r="E664" s="56"/>
      <c r="F664" s="56"/>
      <c r="G664" s="56"/>
      <c r="H664" s="56"/>
      <c r="I664" s="56"/>
    </row>
    <row r="665" spans="1:9" s="4" customFormat="1">
      <c r="A665" s="36"/>
      <c r="B665" s="50"/>
      <c r="C665" s="50"/>
      <c r="D665" s="50"/>
      <c r="E665" s="50"/>
      <c r="F665" s="36"/>
      <c r="G665" s="36"/>
      <c r="H665" s="36"/>
      <c r="I665" s="36"/>
    </row>
    <row r="666" spans="1:9" s="4" customFormat="1">
      <c r="A666" s="36"/>
      <c r="B666" s="36"/>
      <c r="C666" s="78"/>
      <c r="D666" s="78"/>
      <c r="E666" s="79"/>
      <c r="F666" s="80"/>
      <c r="G666" s="78"/>
      <c r="H666" s="36"/>
      <c r="I666" s="81"/>
    </row>
    <row r="667" spans="1:9" s="4" customFormat="1" ht="12"/>
    <row r="668" spans="1:9" s="4" customFormat="1" ht="12"/>
    <row r="669" spans="1:9" s="4" customFormat="1" ht="20.25">
      <c r="A669" s="618"/>
      <c r="B669" s="668"/>
      <c r="C669" s="668"/>
      <c r="D669" s="457"/>
      <c r="E669" s="57"/>
      <c r="F669" s="57"/>
      <c r="G669" s="57"/>
      <c r="H669" s="57"/>
      <c r="I669" s="57"/>
    </row>
    <row r="670" spans="1:9" s="4" customFormat="1">
      <c r="A670" s="68"/>
      <c r="B670" s="68"/>
      <c r="C670" s="68"/>
      <c r="D670" s="68"/>
      <c r="E670" s="68"/>
      <c r="F670" s="68"/>
      <c r="G670" s="69"/>
      <c r="H670" s="69"/>
      <c r="I670" s="615"/>
    </row>
    <row r="671" spans="1:9" s="4" customFormat="1">
      <c r="A671" s="68"/>
      <c r="B671" s="68"/>
      <c r="C671" s="68"/>
      <c r="D671" s="68"/>
      <c r="E671" s="68"/>
      <c r="F671" s="68"/>
      <c r="G671" s="69"/>
      <c r="H671" s="69"/>
      <c r="I671" s="615"/>
    </row>
    <row r="672" spans="1:9" s="4" customFormat="1">
      <c r="A672" s="36"/>
      <c r="B672" s="36"/>
      <c r="C672" s="36"/>
      <c r="D672" s="36"/>
      <c r="E672" s="36"/>
      <c r="F672" s="36"/>
      <c r="G672" s="36"/>
      <c r="H672" s="50"/>
      <c r="I672" s="36"/>
    </row>
    <row r="673" spans="1:9" s="4" customFormat="1">
      <c r="A673" s="36"/>
      <c r="B673" s="36"/>
      <c r="C673" s="36"/>
      <c r="D673" s="36"/>
      <c r="E673" s="36"/>
      <c r="F673" s="36"/>
      <c r="G673" s="58"/>
      <c r="H673" s="70"/>
      <c r="I673" s="50"/>
    </row>
    <row r="674" spans="1:9" s="4" customFormat="1">
      <c r="A674" s="36"/>
      <c r="B674" s="36"/>
      <c r="C674" s="36"/>
      <c r="D674" s="36"/>
      <c r="E674" s="36"/>
      <c r="F674" s="36"/>
      <c r="G674" s="59"/>
      <c r="H674" s="70"/>
      <c r="I674" s="50"/>
    </row>
    <row r="675" spans="1:9" s="4" customFormat="1">
      <c r="A675" s="36"/>
      <c r="B675" s="36"/>
      <c r="C675" s="36"/>
      <c r="D675" s="36"/>
      <c r="E675" s="36"/>
      <c r="F675" s="36"/>
      <c r="G675" s="60"/>
      <c r="H675" s="70"/>
      <c r="I675" s="50"/>
    </row>
    <row r="676" spans="1:9" s="4" customFormat="1">
      <c r="A676" s="36"/>
      <c r="B676" s="36"/>
      <c r="C676" s="36"/>
      <c r="D676" s="36"/>
      <c r="E676" s="36"/>
      <c r="F676" s="36"/>
      <c r="G676" s="60"/>
      <c r="H676" s="70"/>
      <c r="I676" s="50"/>
    </row>
    <row r="677" spans="1:9" s="4" customFormat="1">
      <c r="A677" s="36"/>
      <c r="B677" s="36"/>
      <c r="C677" s="36"/>
      <c r="D677" s="36"/>
      <c r="E677" s="36"/>
      <c r="F677" s="36"/>
      <c r="G677" s="60"/>
      <c r="H677" s="70"/>
      <c r="I677" s="50"/>
    </row>
    <row r="678" spans="1:9" s="4" customFormat="1">
      <c r="A678" s="36"/>
      <c r="B678" s="36"/>
      <c r="C678" s="36"/>
      <c r="D678" s="36"/>
      <c r="E678" s="36"/>
      <c r="F678" s="36"/>
      <c r="G678" s="60"/>
      <c r="H678" s="70"/>
      <c r="I678" s="50"/>
    </row>
    <row r="679" spans="1:9" s="4" customFormat="1">
      <c r="A679" s="36"/>
      <c r="B679" s="36"/>
      <c r="C679" s="36"/>
      <c r="D679" s="36"/>
      <c r="E679" s="36"/>
      <c r="F679" s="36"/>
      <c r="G679" s="36"/>
      <c r="H679" s="36"/>
      <c r="I679" s="36"/>
    </row>
    <row r="680" spans="1:9" s="4" customFormat="1">
      <c r="A680" s="68"/>
      <c r="B680" s="68"/>
      <c r="C680" s="68"/>
      <c r="D680" s="68"/>
      <c r="E680" s="68"/>
      <c r="F680" s="68"/>
      <c r="G680" s="622"/>
      <c r="H680" s="71"/>
      <c r="I680" s="71"/>
    </row>
    <row r="681" spans="1:9" s="4" customFormat="1">
      <c r="A681" s="68"/>
      <c r="B681" s="68"/>
      <c r="C681" s="68"/>
      <c r="D681" s="68"/>
      <c r="E681" s="68"/>
      <c r="F681" s="68"/>
      <c r="G681" s="622"/>
      <c r="H681" s="71"/>
      <c r="I681" s="71"/>
    </row>
    <row r="682" spans="1:9" s="4" customFormat="1">
      <c r="A682" s="61"/>
      <c r="B682" s="36"/>
      <c r="C682" s="62"/>
      <c r="D682" s="62"/>
      <c r="E682" s="62"/>
      <c r="F682" s="36"/>
      <c r="G682" s="62"/>
      <c r="H682" s="72"/>
      <c r="I682" s="50"/>
    </row>
    <row r="683" spans="1:9" s="4" customFormat="1">
      <c r="A683" s="36"/>
      <c r="B683" s="36"/>
      <c r="C683" s="36"/>
      <c r="D683" s="36"/>
      <c r="E683" s="36"/>
      <c r="F683" s="36"/>
      <c r="G683" s="50"/>
      <c r="H683" s="50"/>
      <c r="I683" s="70"/>
    </row>
    <row r="684" spans="1:9" s="4" customFormat="1">
      <c r="A684" s="36"/>
      <c r="B684" s="36"/>
      <c r="C684" s="36"/>
      <c r="D684" s="36"/>
      <c r="E684" s="36"/>
      <c r="F684" s="36"/>
      <c r="G684" s="70"/>
      <c r="H684" s="50"/>
      <c r="I684" s="50"/>
    </row>
    <row r="685" spans="1:9" s="4" customFormat="1">
      <c r="A685" s="36"/>
      <c r="B685" s="36"/>
      <c r="C685" s="36"/>
      <c r="D685" s="36"/>
      <c r="E685" s="36"/>
      <c r="F685" s="36"/>
      <c r="G685" s="47"/>
      <c r="H685" s="50"/>
      <c r="I685" s="50"/>
    </row>
    <row r="686" spans="1:9" s="4" customFormat="1">
      <c r="A686" s="36"/>
      <c r="B686" s="36"/>
      <c r="C686" s="36"/>
      <c r="D686" s="36"/>
      <c r="E686" s="36"/>
      <c r="F686" s="36"/>
      <c r="G686" s="73"/>
      <c r="H686" s="50"/>
      <c r="I686" s="50"/>
    </row>
    <row r="687" spans="1:9" s="4" customFormat="1">
      <c r="A687" s="36"/>
      <c r="B687" s="36"/>
      <c r="C687" s="36"/>
      <c r="D687" s="36"/>
      <c r="E687" s="36"/>
      <c r="F687" s="50"/>
      <c r="G687" s="36"/>
      <c r="H687" s="36"/>
      <c r="I687" s="36"/>
    </row>
    <row r="688" spans="1:9" s="4" customFormat="1">
      <c r="A688" s="63"/>
      <c r="B688" s="36"/>
      <c r="C688" s="36"/>
      <c r="D688" s="36"/>
      <c r="E688" s="36"/>
      <c r="F688" s="50"/>
      <c r="G688" s="36"/>
      <c r="H688" s="36"/>
      <c r="I688" s="36"/>
    </row>
    <row r="689" spans="1:9" s="4" customFormat="1">
      <c r="A689" s="36"/>
      <c r="B689" s="74"/>
      <c r="C689" s="36"/>
      <c r="D689" s="36"/>
      <c r="E689" s="36"/>
      <c r="F689" s="36"/>
      <c r="G689" s="36"/>
      <c r="H689" s="36"/>
      <c r="I689" s="36"/>
    </row>
    <row r="690" spans="1:9" s="4" customFormat="1">
      <c r="A690" s="619"/>
      <c r="B690" s="456"/>
      <c r="C690" s="456"/>
      <c r="D690" s="456"/>
      <c r="E690" s="619"/>
      <c r="F690" s="619"/>
      <c r="G690" s="619"/>
      <c r="H690" s="619"/>
      <c r="I690" s="619"/>
    </row>
    <row r="691" spans="1:9" s="4" customFormat="1">
      <c r="A691" s="619"/>
      <c r="B691" s="456"/>
      <c r="C691" s="456"/>
      <c r="D691" s="456"/>
      <c r="E691" s="456"/>
      <c r="F691" s="456"/>
      <c r="G691" s="620"/>
      <c r="H691" s="620"/>
      <c r="I691" s="620"/>
    </row>
    <row r="692" spans="1:9" s="4" customFormat="1">
      <c r="A692" s="64"/>
      <c r="B692" s="76"/>
      <c r="C692" s="50"/>
      <c r="D692" s="50"/>
      <c r="E692" s="50"/>
      <c r="F692" s="65"/>
      <c r="G692" s="50"/>
      <c r="H692" s="50"/>
      <c r="I692" s="55"/>
    </row>
    <row r="693" spans="1:9" s="4" customFormat="1">
      <c r="A693" s="64"/>
      <c r="B693" s="76"/>
      <c r="C693" s="50"/>
      <c r="D693" s="50"/>
      <c r="E693" s="50"/>
      <c r="F693" s="65"/>
      <c r="G693" s="50"/>
      <c r="H693" s="54"/>
      <c r="I693" s="55"/>
    </row>
    <row r="694" spans="1:9" s="4" customFormat="1">
      <c r="A694" s="64"/>
      <c r="B694" s="76"/>
      <c r="C694" s="50"/>
      <c r="D694" s="50"/>
      <c r="E694" s="50"/>
      <c r="F694" s="65"/>
      <c r="G694" s="50"/>
      <c r="H694" s="54"/>
      <c r="I694" s="36"/>
    </row>
    <row r="695" spans="1:9" s="4" customFormat="1">
      <c r="A695" s="64"/>
      <c r="B695" s="76"/>
      <c r="C695" s="50"/>
      <c r="D695" s="50"/>
      <c r="E695" s="50"/>
      <c r="F695" s="65"/>
      <c r="G695" s="50"/>
      <c r="H695" s="54"/>
      <c r="I695" s="55"/>
    </row>
    <row r="696" spans="1:9" s="4" customFormat="1">
      <c r="A696" s="64"/>
      <c r="B696" s="77"/>
      <c r="C696" s="50"/>
      <c r="D696" s="50"/>
      <c r="E696" s="50"/>
      <c r="F696" s="65"/>
      <c r="G696" s="50"/>
      <c r="H696" s="54"/>
      <c r="I696" s="55"/>
    </row>
    <row r="697" spans="1:9" s="4" customFormat="1">
      <c r="A697" s="64"/>
      <c r="B697" s="77"/>
      <c r="C697" s="50"/>
      <c r="D697" s="50"/>
      <c r="E697" s="50"/>
      <c r="F697" s="65"/>
      <c r="G697" s="50"/>
      <c r="H697" s="54"/>
      <c r="I697" s="55"/>
    </row>
    <row r="698" spans="1:9" s="4" customFormat="1">
      <c r="A698" s="64"/>
      <c r="B698" s="77"/>
      <c r="C698" s="50"/>
      <c r="D698" s="50"/>
      <c r="E698" s="50"/>
      <c r="F698" s="65"/>
      <c r="G698" s="50"/>
      <c r="H698" s="54"/>
      <c r="I698" s="55"/>
    </row>
    <row r="699" spans="1:9" s="4" customFormat="1">
      <c r="A699" s="64"/>
      <c r="B699" s="77"/>
      <c r="C699" s="50"/>
      <c r="D699" s="50"/>
      <c r="E699" s="50"/>
      <c r="F699" s="65"/>
      <c r="G699" s="50"/>
      <c r="H699" s="54"/>
      <c r="I699" s="55"/>
    </row>
    <row r="700" spans="1:9" s="4" customFormat="1">
      <c r="A700" s="64"/>
      <c r="B700" s="77"/>
      <c r="C700" s="50"/>
      <c r="D700" s="50"/>
      <c r="E700" s="50"/>
      <c r="F700" s="65"/>
      <c r="G700" s="50"/>
      <c r="H700" s="54"/>
      <c r="I700" s="55"/>
    </row>
    <row r="701" spans="1:9" s="4" customFormat="1">
      <c r="A701" s="64"/>
      <c r="B701" s="77"/>
      <c r="C701" s="50"/>
      <c r="D701" s="50"/>
      <c r="E701" s="50"/>
      <c r="F701" s="65"/>
      <c r="G701" s="50"/>
      <c r="H701" s="54"/>
      <c r="I701" s="55"/>
    </row>
    <row r="702" spans="1:9" s="4" customFormat="1">
      <c r="A702" s="64"/>
      <c r="B702" s="77"/>
      <c r="C702" s="50"/>
      <c r="D702" s="50"/>
      <c r="E702" s="50"/>
      <c r="F702" s="65"/>
      <c r="G702" s="50"/>
      <c r="H702" s="54"/>
      <c r="I702" s="55"/>
    </row>
    <row r="703" spans="1:9" s="4" customFormat="1">
      <c r="A703" s="64"/>
      <c r="B703" s="77"/>
      <c r="C703" s="50"/>
      <c r="D703" s="50"/>
      <c r="E703" s="50"/>
      <c r="F703" s="65"/>
      <c r="G703" s="50"/>
      <c r="H703" s="54"/>
      <c r="I703" s="55"/>
    </row>
    <row r="704" spans="1:9" s="4" customFormat="1">
      <c r="A704" s="64"/>
      <c r="B704" s="77"/>
      <c r="C704" s="50"/>
      <c r="D704" s="50"/>
      <c r="E704" s="50"/>
      <c r="F704" s="65"/>
      <c r="G704" s="50"/>
      <c r="H704" s="54"/>
      <c r="I704" s="55"/>
    </row>
    <row r="705" spans="1:9" s="4" customFormat="1">
      <c r="A705" s="64"/>
      <c r="B705" s="77"/>
      <c r="C705" s="50"/>
      <c r="D705" s="50"/>
      <c r="E705" s="50"/>
      <c r="F705" s="65"/>
      <c r="G705" s="50"/>
      <c r="H705" s="54"/>
      <c r="I705" s="55"/>
    </row>
    <row r="706" spans="1:9" s="4" customFormat="1">
      <c r="A706" s="64"/>
      <c r="B706" s="77"/>
      <c r="C706" s="50"/>
      <c r="D706" s="50"/>
      <c r="E706" s="50"/>
      <c r="F706" s="65"/>
      <c r="G706" s="50"/>
      <c r="H706" s="54"/>
      <c r="I706" s="55"/>
    </row>
    <row r="707" spans="1:9" s="4" customFormat="1">
      <c r="A707" s="64"/>
      <c r="B707" s="77"/>
      <c r="C707" s="50"/>
      <c r="D707" s="50"/>
      <c r="E707" s="50"/>
      <c r="F707" s="65"/>
      <c r="G707" s="50"/>
      <c r="H707" s="54"/>
      <c r="I707" s="55"/>
    </row>
    <row r="708" spans="1:9" s="4" customFormat="1">
      <c r="A708" s="64"/>
      <c r="B708" s="77"/>
      <c r="C708" s="50"/>
      <c r="D708" s="50"/>
      <c r="E708" s="50"/>
      <c r="F708" s="65"/>
      <c r="G708" s="50"/>
      <c r="H708" s="54"/>
      <c r="I708" s="55"/>
    </row>
    <row r="709" spans="1:9" s="4" customFormat="1">
      <c r="A709" s="64"/>
      <c r="B709" s="77"/>
      <c r="C709" s="50"/>
      <c r="D709" s="50"/>
      <c r="E709" s="50"/>
      <c r="F709" s="65"/>
      <c r="G709" s="50"/>
      <c r="H709" s="54"/>
      <c r="I709" s="55"/>
    </row>
    <row r="710" spans="1:9" s="4" customFormat="1">
      <c r="A710" s="64"/>
      <c r="B710" s="77"/>
      <c r="C710" s="50"/>
      <c r="D710" s="50"/>
      <c r="E710" s="50"/>
      <c r="F710" s="65"/>
      <c r="G710" s="50"/>
      <c r="H710" s="54"/>
      <c r="I710" s="55"/>
    </row>
    <row r="711" spans="1:9" s="4" customFormat="1">
      <c r="A711" s="64"/>
      <c r="B711" s="77"/>
      <c r="C711" s="50"/>
      <c r="D711" s="50"/>
      <c r="E711" s="50"/>
      <c r="F711" s="65"/>
      <c r="G711" s="50"/>
      <c r="H711" s="54"/>
      <c r="I711" s="55"/>
    </row>
    <row r="712" spans="1:9" s="4" customFormat="1">
      <c r="A712" s="64"/>
      <c r="B712" s="77"/>
      <c r="C712" s="50"/>
      <c r="D712" s="50"/>
      <c r="E712" s="50"/>
      <c r="F712" s="65"/>
      <c r="G712" s="50"/>
      <c r="H712" s="54"/>
      <c r="I712" s="55"/>
    </row>
    <row r="713" spans="1:9" s="4" customFormat="1">
      <c r="A713" s="64"/>
      <c r="B713" s="77"/>
      <c r="C713" s="50"/>
      <c r="D713" s="50"/>
      <c r="E713" s="50"/>
      <c r="F713" s="65"/>
      <c r="G713" s="50"/>
      <c r="H713" s="54"/>
      <c r="I713" s="55"/>
    </row>
    <row r="714" spans="1:9" s="4" customFormat="1">
      <c r="A714" s="64"/>
      <c r="B714" s="77"/>
      <c r="C714" s="50"/>
      <c r="D714" s="50"/>
      <c r="E714" s="50"/>
      <c r="F714" s="65"/>
      <c r="G714" s="50"/>
      <c r="H714" s="54"/>
      <c r="I714" s="55"/>
    </row>
    <row r="715" spans="1:9" s="4" customFormat="1">
      <c r="A715" s="64"/>
      <c r="B715" s="77"/>
      <c r="C715" s="50"/>
      <c r="D715" s="50"/>
      <c r="E715" s="50"/>
      <c r="F715" s="65"/>
      <c r="G715" s="50"/>
      <c r="H715" s="54"/>
      <c r="I715" s="55"/>
    </row>
    <row r="716" spans="1:9" s="4" customFormat="1">
      <c r="A716" s="64"/>
      <c r="B716" s="77"/>
      <c r="C716" s="50"/>
      <c r="D716" s="50"/>
      <c r="E716" s="50"/>
      <c r="F716" s="65"/>
      <c r="G716" s="50"/>
      <c r="H716" s="54"/>
      <c r="I716" s="55"/>
    </row>
    <row r="717" spans="1:9" s="4" customFormat="1">
      <c r="A717" s="82"/>
      <c r="B717" s="56"/>
      <c r="C717" s="56"/>
      <c r="D717" s="56"/>
      <c r="E717" s="56"/>
      <c r="F717" s="56"/>
      <c r="G717" s="56"/>
      <c r="H717" s="56"/>
      <c r="I717" s="56"/>
    </row>
    <row r="718" spans="1:9" s="4" customFormat="1">
      <c r="A718" s="36"/>
      <c r="B718" s="50"/>
      <c r="C718" s="50"/>
      <c r="D718" s="50"/>
      <c r="E718" s="50"/>
      <c r="F718" s="36"/>
      <c r="G718" s="36"/>
      <c r="H718" s="36"/>
      <c r="I718" s="36"/>
    </row>
    <row r="719" spans="1:9" s="4" customFormat="1">
      <c r="A719" s="36"/>
      <c r="B719" s="36"/>
      <c r="C719" s="78"/>
      <c r="D719" s="78"/>
      <c r="E719" s="79"/>
      <c r="F719" s="80"/>
      <c r="G719" s="78"/>
      <c r="H719" s="36"/>
      <c r="I719" s="81"/>
    </row>
    <row r="720" spans="1:9" s="4" customFormat="1" ht="12"/>
    <row r="721" spans="1:9" s="4" customFormat="1" ht="20.25">
      <c r="A721" s="66"/>
      <c r="B721" s="67"/>
      <c r="G721" s="57"/>
      <c r="H721" s="57"/>
      <c r="I721" s="57"/>
    </row>
    <row r="722" spans="1:9" s="4" customFormat="1" ht="20.25">
      <c r="A722" s="618"/>
      <c r="B722" s="668"/>
      <c r="C722" s="668"/>
      <c r="D722" s="457"/>
      <c r="E722" s="57"/>
      <c r="F722" s="57"/>
      <c r="G722" s="57"/>
      <c r="H722" s="57"/>
      <c r="I722" s="57"/>
    </row>
    <row r="723" spans="1:9" s="4" customFormat="1">
      <c r="A723" s="68"/>
      <c r="B723" s="68"/>
      <c r="C723" s="68"/>
      <c r="D723" s="68"/>
      <c r="E723" s="68"/>
      <c r="F723" s="68"/>
      <c r="G723" s="69"/>
      <c r="H723" s="69"/>
      <c r="I723" s="615"/>
    </row>
    <row r="724" spans="1:9" s="4" customFormat="1">
      <c r="A724" s="68"/>
      <c r="B724" s="68"/>
      <c r="C724" s="68"/>
      <c r="D724" s="68"/>
      <c r="E724" s="68"/>
      <c r="F724" s="68"/>
      <c r="G724" s="69"/>
      <c r="H724" s="69"/>
      <c r="I724" s="615"/>
    </row>
    <row r="725" spans="1:9" s="4" customFormat="1">
      <c r="A725" s="36"/>
      <c r="B725" s="36"/>
      <c r="C725" s="36"/>
      <c r="D725" s="36"/>
      <c r="E725" s="36"/>
      <c r="F725" s="36"/>
      <c r="G725" s="36"/>
      <c r="H725" s="50"/>
      <c r="I725" s="36"/>
    </row>
    <row r="726" spans="1:9" s="4" customFormat="1">
      <c r="A726" s="36"/>
      <c r="B726" s="36"/>
      <c r="C726" s="36"/>
      <c r="D726" s="36"/>
      <c r="E726" s="36"/>
      <c r="F726" s="36"/>
      <c r="G726" s="58"/>
      <c r="H726" s="70"/>
      <c r="I726" s="50"/>
    </row>
    <row r="727" spans="1:9" s="4" customFormat="1">
      <c r="A727" s="36"/>
      <c r="B727" s="36"/>
      <c r="C727" s="36"/>
      <c r="D727" s="36"/>
      <c r="E727" s="36"/>
      <c r="F727" s="36"/>
      <c r="G727" s="59"/>
      <c r="H727" s="70"/>
      <c r="I727" s="50"/>
    </row>
    <row r="728" spans="1:9" s="4" customFormat="1">
      <c r="A728" s="36"/>
      <c r="B728" s="36"/>
      <c r="C728" s="36"/>
      <c r="D728" s="36"/>
      <c r="E728" s="36"/>
      <c r="F728" s="36"/>
      <c r="G728" s="60"/>
      <c r="H728" s="70"/>
      <c r="I728" s="50"/>
    </row>
    <row r="729" spans="1:9" s="4" customFormat="1">
      <c r="A729" s="36"/>
      <c r="B729" s="36"/>
      <c r="C729" s="36"/>
      <c r="D729" s="36"/>
      <c r="E729" s="36"/>
      <c r="F729" s="36"/>
      <c r="G729" s="60"/>
      <c r="H729" s="70"/>
      <c r="I729" s="50"/>
    </row>
    <row r="730" spans="1:9" s="4" customFormat="1">
      <c r="A730" s="36"/>
      <c r="B730" s="36"/>
      <c r="C730" s="36"/>
      <c r="D730" s="36"/>
      <c r="E730" s="36"/>
      <c r="F730" s="36"/>
      <c r="G730" s="60"/>
      <c r="H730" s="70"/>
      <c r="I730" s="50"/>
    </row>
    <row r="731" spans="1:9" s="4" customFormat="1">
      <c r="A731" s="36"/>
      <c r="B731" s="36"/>
      <c r="C731" s="36"/>
      <c r="D731" s="36"/>
      <c r="E731" s="36"/>
      <c r="F731" s="36"/>
      <c r="G731" s="60"/>
      <c r="H731" s="70"/>
      <c r="I731" s="50"/>
    </row>
    <row r="732" spans="1:9" s="4" customFormat="1">
      <c r="A732" s="36"/>
      <c r="B732" s="36"/>
      <c r="C732" s="36"/>
      <c r="D732" s="36"/>
      <c r="E732" s="36"/>
      <c r="F732" s="36"/>
      <c r="G732" s="36"/>
      <c r="H732" s="36"/>
      <c r="I732" s="36"/>
    </row>
    <row r="733" spans="1:9" s="4" customFormat="1">
      <c r="A733" s="68"/>
      <c r="B733" s="68"/>
      <c r="C733" s="68"/>
      <c r="D733" s="68"/>
      <c r="E733" s="68"/>
      <c r="F733" s="68"/>
      <c r="G733" s="622"/>
      <c r="H733" s="71"/>
      <c r="I733" s="71"/>
    </row>
    <row r="734" spans="1:9" s="4" customFormat="1">
      <c r="A734" s="68"/>
      <c r="B734" s="68"/>
      <c r="C734" s="68"/>
      <c r="D734" s="68"/>
      <c r="E734" s="68"/>
      <c r="F734" s="68"/>
      <c r="G734" s="622"/>
      <c r="H734" s="71"/>
      <c r="I734" s="71"/>
    </row>
    <row r="735" spans="1:9" s="4" customFormat="1">
      <c r="A735" s="61"/>
      <c r="B735" s="36"/>
      <c r="C735" s="62"/>
      <c r="D735" s="62"/>
      <c r="E735" s="62"/>
      <c r="F735" s="36"/>
      <c r="G735" s="62"/>
      <c r="H735" s="72"/>
      <c r="I735" s="50"/>
    </row>
    <row r="736" spans="1:9" s="4" customFormat="1">
      <c r="A736" s="36"/>
      <c r="B736" s="36"/>
      <c r="C736" s="36"/>
      <c r="D736" s="36"/>
      <c r="E736" s="36"/>
      <c r="F736" s="36"/>
      <c r="G736" s="50"/>
      <c r="H736" s="50"/>
      <c r="I736" s="70"/>
    </row>
    <row r="737" spans="1:9" s="4" customFormat="1">
      <c r="A737" s="36"/>
      <c r="B737" s="36"/>
      <c r="C737" s="36"/>
      <c r="D737" s="36"/>
      <c r="E737" s="36"/>
      <c r="F737" s="36"/>
      <c r="G737" s="70"/>
      <c r="H737" s="50"/>
      <c r="I737" s="50"/>
    </row>
    <row r="738" spans="1:9" s="4" customFormat="1">
      <c r="A738" s="36"/>
      <c r="B738" s="36"/>
      <c r="C738" s="36"/>
      <c r="D738" s="36"/>
      <c r="E738" s="36"/>
      <c r="F738" s="36"/>
      <c r="G738" s="47"/>
      <c r="H738" s="50"/>
      <c r="I738" s="50"/>
    </row>
    <row r="739" spans="1:9" s="4" customFormat="1">
      <c r="A739" s="36"/>
      <c r="B739" s="36"/>
      <c r="C739" s="36"/>
      <c r="D739" s="36"/>
      <c r="E739" s="36"/>
      <c r="F739" s="36"/>
      <c r="G739" s="73"/>
      <c r="H739" s="50"/>
      <c r="I739" s="50"/>
    </row>
    <row r="740" spans="1:9" s="4" customFormat="1">
      <c r="A740" s="36"/>
      <c r="B740" s="36"/>
      <c r="C740" s="36"/>
      <c r="D740" s="36"/>
      <c r="E740" s="36"/>
      <c r="F740" s="50"/>
      <c r="G740" s="36"/>
      <c r="H740" s="36"/>
      <c r="I740" s="36"/>
    </row>
    <row r="741" spans="1:9" s="4" customFormat="1">
      <c r="A741" s="63"/>
      <c r="B741" s="36"/>
      <c r="C741" s="36"/>
      <c r="D741" s="36"/>
      <c r="E741" s="36"/>
      <c r="F741" s="50"/>
      <c r="G741" s="36"/>
      <c r="H741" s="36"/>
      <c r="I741" s="36"/>
    </row>
    <row r="742" spans="1:9" s="4" customFormat="1">
      <c r="A742" s="36"/>
      <c r="B742" s="74"/>
      <c r="C742" s="36"/>
      <c r="D742" s="36"/>
      <c r="E742" s="36"/>
      <c r="F742" s="36"/>
      <c r="G742" s="36"/>
      <c r="H742" s="36"/>
      <c r="I742" s="36"/>
    </row>
    <row r="743" spans="1:9" s="4" customFormat="1">
      <c r="A743" s="619"/>
      <c r="B743" s="456"/>
      <c r="C743" s="456"/>
      <c r="D743" s="456"/>
      <c r="E743" s="619"/>
      <c r="F743" s="619"/>
      <c r="G743" s="619"/>
      <c r="H743" s="619"/>
      <c r="I743" s="619"/>
    </row>
    <row r="744" spans="1:9" s="4" customFormat="1">
      <c r="A744" s="619"/>
      <c r="B744" s="456"/>
      <c r="C744" s="456"/>
      <c r="D744" s="456"/>
      <c r="E744" s="456"/>
      <c r="F744" s="456"/>
      <c r="G744" s="620"/>
      <c r="H744" s="620"/>
      <c r="I744" s="620"/>
    </row>
    <row r="745" spans="1:9" s="4" customFormat="1">
      <c r="A745" s="64"/>
      <c r="B745" s="76"/>
      <c r="C745" s="50"/>
      <c r="D745" s="50"/>
      <c r="E745" s="50"/>
      <c r="F745" s="65"/>
      <c r="G745" s="50"/>
      <c r="H745" s="50"/>
      <c r="I745" s="55"/>
    </row>
    <row r="746" spans="1:9" s="4" customFormat="1">
      <c r="A746" s="64"/>
      <c r="B746" s="76"/>
      <c r="C746" s="50"/>
      <c r="D746" s="50"/>
      <c r="E746" s="50"/>
      <c r="F746" s="65"/>
      <c r="G746" s="50"/>
      <c r="H746" s="54"/>
      <c r="I746" s="55"/>
    </row>
    <row r="747" spans="1:9" s="4" customFormat="1">
      <c r="A747" s="64"/>
      <c r="B747" s="76"/>
      <c r="C747" s="50"/>
      <c r="D747" s="50"/>
      <c r="E747" s="50"/>
      <c r="F747" s="65"/>
      <c r="G747" s="50"/>
      <c r="H747" s="54"/>
      <c r="I747" s="36"/>
    </row>
    <row r="748" spans="1:9" s="4" customFormat="1">
      <c r="A748" s="64"/>
      <c r="B748" s="76"/>
      <c r="C748" s="50"/>
      <c r="D748" s="50"/>
      <c r="E748" s="50"/>
      <c r="F748" s="65"/>
      <c r="G748" s="50"/>
      <c r="H748" s="54"/>
      <c r="I748" s="55"/>
    </row>
    <row r="749" spans="1:9" s="4" customFormat="1">
      <c r="A749" s="64"/>
      <c r="B749" s="77"/>
      <c r="C749" s="50"/>
      <c r="D749" s="50"/>
      <c r="E749" s="50"/>
      <c r="F749" s="65"/>
      <c r="G749" s="50"/>
      <c r="H749" s="54"/>
      <c r="I749" s="55"/>
    </row>
    <row r="750" spans="1:9" s="4" customFormat="1">
      <c r="A750" s="64"/>
      <c r="B750" s="77"/>
      <c r="C750" s="50"/>
      <c r="D750" s="50"/>
      <c r="E750" s="50"/>
      <c r="F750" s="65"/>
      <c r="G750" s="50"/>
      <c r="H750" s="54"/>
      <c r="I750" s="55"/>
    </row>
    <row r="751" spans="1:9" s="4" customFormat="1">
      <c r="A751" s="64"/>
      <c r="B751" s="77"/>
      <c r="C751" s="50"/>
      <c r="D751" s="50"/>
      <c r="E751" s="50"/>
      <c r="F751" s="65"/>
      <c r="G751" s="50"/>
      <c r="H751" s="54"/>
      <c r="I751" s="55"/>
    </row>
    <row r="752" spans="1:9" s="4" customFormat="1">
      <c r="A752" s="64"/>
      <c r="B752" s="77"/>
      <c r="C752" s="50"/>
      <c r="D752" s="50"/>
      <c r="E752" s="50"/>
      <c r="F752" s="65"/>
      <c r="G752" s="50"/>
      <c r="H752" s="54"/>
      <c r="I752" s="55"/>
    </row>
    <row r="753" spans="1:9" s="4" customFormat="1">
      <c r="A753" s="64"/>
      <c r="B753" s="77"/>
      <c r="C753" s="50"/>
      <c r="D753" s="50"/>
      <c r="E753" s="50"/>
      <c r="F753" s="65"/>
      <c r="G753" s="50"/>
      <c r="H753" s="54"/>
      <c r="I753" s="55"/>
    </row>
    <row r="754" spans="1:9" s="4" customFormat="1">
      <c r="A754" s="64"/>
      <c r="B754" s="77"/>
      <c r="C754" s="50"/>
      <c r="D754" s="50"/>
      <c r="E754" s="50"/>
      <c r="F754" s="65"/>
      <c r="G754" s="50"/>
      <c r="H754" s="54"/>
      <c r="I754" s="55"/>
    </row>
    <row r="755" spans="1:9" s="4" customFormat="1">
      <c r="A755" s="64"/>
      <c r="B755" s="77"/>
      <c r="C755" s="50"/>
      <c r="D755" s="50"/>
      <c r="E755" s="50"/>
      <c r="F755" s="65"/>
      <c r="G755" s="50"/>
      <c r="H755" s="54"/>
      <c r="I755" s="55"/>
    </row>
    <row r="756" spans="1:9" s="4" customFormat="1">
      <c r="A756" s="64"/>
      <c r="B756" s="77"/>
      <c r="C756" s="50"/>
      <c r="D756" s="50"/>
      <c r="E756" s="50"/>
      <c r="F756" s="65"/>
      <c r="G756" s="50"/>
      <c r="H756" s="54"/>
      <c r="I756" s="55"/>
    </row>
    <row r="757" spans="1:9" s="4" customFormat="1">
      <c r="A757" s="64"/>
      <c r="B757" s="77"/>
      <c r="C757" s="50"/>
      <c r="D757" s="50"/>
      <c r="E757" s="50"/>
      <c r="F757" s="65"/>
      <c r="G757" s="50"/>
      <c r="H757" s="54"/>
      <c r="I757" s="55"/>
    </row>
    <row r="758" spans="1:9" s="4" customFormat="1">
      <c r="A758" s="64"/>
      <c r="B758" s="77"/>
      <c r="C758" s="50"/>
      <c r="D758" s="50"/>
      <c r="E758" s="50"/>
      <c r="F758" s="65"/>
      <c r="G758" s="50"/>
      <c r="H758" s="54"/>
      <c r="I758" s="55"/>
    </row>
    <row r="759" spans="1:9" s="4" customFormat="1">
      <c r="A759" s="64"/>
      <c r="B759" s="77"/>
      <c r="C759" s="50"/>
      <c r="D759" s="50"/>
      <c r="E759" s="50"/>
      <c r="F759" s="65"/>
      <c r="G759" s="50"/>
      <c r="H759" s="54"/>
      <c r="I759" s="55"/>
    </row>
    <row r="760" spans="1:9" s="4" customFormat="1">
      <c r="A760" s="64"/>
      <c r="B760" s="77"/>
      <c r="C760" s="50"/>
      <c r="D760" s="50"/>
      <c r="E760" s="50"/>
      <c r="F760" s="65"/>
      <c r="G760" s="50"/>
      <c r="H760" s="54"/>
      <c r="I760" s="55"/>
    </row>
    <row r="761" spans="1:9" s="4" customFormat="1">
      <c r="A761" s="64"/>
      <c r="B761" s="77"/>
      <c r="C761" s="50"/>
      <c r="D761" s="50"/>
      <c r="E761" s="50"/>
      <c r="F761" s="65"/>
      <c r="G761" s="50"/>
      <c r="H761" s="54"/>
      <c r="I761" s="55"/>
    </row>
    <row r="762" spans="1:9" s="4" customFormat="1">
      <c r="A762" s="64"/>
      <c r="B762" s="77"/>
      <c r="C762" s="50"/>
      <c r="D762" s="50"/>
      <c r="E762" s="50"/>
      <c r="F762" s="65"/>
      <c r="G762" s="50"/>
      <c r="H762" s="54"/>
      <c r="I762" s="55"/>
    </row>
    <row r="763" spans="1:9" s="4" customFormat="1">
      <c r="A763" s="64"/>
      <c r="B763" s="77"/>
      <c r="C763" s="50"/>
      <c r="D763" s="50"/>
      <c r="E763" s="50"/>
      <c r="F763" s="65"/>
      <c r="G763" s="50"/>
      <c r="H763" s="54"/>
      <c r="I763" s="55"/>
    </row>
    <row r="764" spans="1:9" s="4" customFormat="1">
      <c r="A764" s="64"/>
      <c r="B764" s="77"/>
      <c r="C764" s="50"/>
      <c r="D764" s="50"/>
      <c r="E764" s="50"/>
      <c r="F764" s="65"/>
      <c r="G764" s="50"/>
      <c r="H764" s="54"/>
      <c r="I764" s="55"/>
    </row>
    <row r="765" spans="1:9" s="4" customFormat="1">
      <c r="A765" s="64"/>
      <c r="B765" s="77"/>
      <c r="C765" s="50"/>
      <c r="D765" s="50"/>
      <c r="E765" s="50"/>
      <c r="F765" s="65"/>
      <c r="G765" s="50"/>
      <c r="H765" s="54"/>
      <c r="I765" s="55"/>
    </row>
    <row r="766" spans="1:9" s="4" customFormat="1">
      <c r="A766" s="64"/>
      <c r="B766" s="77"/>
      <c r="C766" s="50"/>
      <c r="D766" s="50"/>
      <c r="E766" s="50"/>
      <c r="F766" s="65"/>
      <c r="G766" s="50"/>
      <c r="H766" s="54"/>
      <c r="I766" s="55"/>
    </row>
    <row r="767" spans="1:9" s="4" customFormat="1">
      <c r="A767" s="64"/>
      <c r="B767" s="77"/>
      <c r="C767" s="50"/>
      <c r="D767" s="50"/>
      <c r="E767" s="50"/>
      <c r="F767" s="65"/>
      <c r="G767" s="50"/>
      <c r="H767" s="54"/>
      <c r="I767" s="55"/>
    </row>
    <row r="768" spans="1:9" s="4" customFormat="1">
      <c r="A768" s="64"/>
      <c r="B768" s="77"/>
      <c r="C768" s="50"/>
      <c r="D768" s="50"/>
      <c r="E768" s="50"/>
      <c r="F768" s="65"/>
      <c r="G768" s="50"/>
      <c r="H768" s="54"/>
      <c r="I768" s="55"/>
    </row>
    <row r="769" spans="1:9" s="4" customFormat="1">
      <c r="A769" s="64"/>
      <c r="B769" s="77"/>
      <c r="C769" s="50"/>
      <c r="D769" s="50"/>
      <c r="E769" s="50"/>
      <c r="F769" s="65"/>
      <c r="G769" s="50"/>
      <c r="H769" s="54"/>
      <c r="I769" s="55"/>
    </row>
    <row r="770" spans="1:9" s="4" customFormat="1">
      <c r="A770" s="82"/>
      <c r="B770" s="56"/>
      <c r="C770" s="56"/>
      <c r="D770" s="56"/>
      <c r="E770" s="56"/>
      <c r="F770" s="56"/>
      <c r="G770" s="56"/>
      <c r="H770" s="56"/>
      <c r="I770" s="56"/>
    </row>
    <row r="771" spans="1:9" s="4" customFormat="1">
      <c r="A771" s="36"/>
      <c r="B771" s="50"/>
      <c r="C771" s="50"/>
      <c r="D771" s="50"/>
      <c r="E771" s="50"/>
      <c r="F771" s="36"/>
      <c r="G771" s="36"/>
      <c r="H771" s="36"/>
      <c r="I771" s="36"/>
    </row>
    <row r="772" spans="1:9" s="4" customFormat="1">
      <c r="A772" s="36"/>
      <c r="B772" s="36"/>
      <c r="C772" s="78"/>
      <c r="D772" s="78"/>
      <c r="E772" s="79"/>
      <c r="F772" s="80"/>
      <c r="G772" s="78"/>
      <c r="H772" s="36"/>
      <c r="I772" s="81"/>
    </row>
    <row r="773" spans="1:9" s="4" customFormat="1" ht="12"/>
  </sheetData>
  <mergeCells count="89">
    <mergeCell ref="A722:C722"/>
    <mergeCell ref="I723:I724"/>
    <mergeCell ref="G733:G734"/>
    <mergeCell ref="A743:A744"/>
    <mergeCell ref="E743:F743"/>
    <mergeCell ref="G743:G744"/>
    <mergeCell ref="H743:H744"/>
    <mergeCell ref="I743:I744"/>
    <mergeCell ref="A669:C669"/>
    <mergeCell ref="I670:I671"/>
    <mergeCell ref="G680:G681"/>
    <mergeCell ref="A690:A691"/>
    <mergeCell ref="E690:F690"/>
    <mergeCell ref="G690:G691"/>
    <mergeCell ref="H690:H691"/>
    <mergeCell ref="I690:I691"/>
    <mergeCell ref="A616:C616"/>
    <mergeCell ref="I617:I618"/>
    <mergeCell ref="G627:G628"/>
    <mergeCell ref="A637:A638"/>
    <mergeCell ref="E637:F637"/>
    <mergeCell ref="G637:G638"/>
    <mergeCell ref="H637:H638"/>
    <mergeCell ref="I637:I638"/>
    <mergeCell ref="A562:C562"/>
    <mergeCell ref="I563:I564"/>
    <mergeCell ref="G573:G574"/>
    <mergeCell ref="A583:A584"/>
    <mergeCell ref="E583:F583"/>
    <mergeCell ref="G583:G584"/>
    <mergeCell ref="H583:H584"/>
    <mergeCell ref="I583:I584"/>
    <mergeCell ref="A508:C508"/>
    <mergeCell ref="I509:I510"/>
    <mergeCell ref="G519:G520"/>
    <mergeCell ref="A529:A530"/>
    <mergeCell ref="E529:F529"/>
    <mergeCell ref="G529:G530"/>
    <mergeCell ref="H529:H530"/>
    <mergeCell ref="I529:I530"/>
    <mergeCell ref="A454:C454"/>
    <mergeCell ref="I455:I456"/>
    <mergeCell ref="G465:G466"/>
    <mergeCell ref="A475:A476"/>
    <mergeCell ref="E475:F475"/>
    <mergeCell ref="G475:G476"/>
    <mergeCell ref="H475:H476"/>
    <mergeCell ref="I475:I476"/>
    <mergeCell ref="A400:C400"/>
    <mergeCell ref="I401:I402"/>
    <mergeCell ref="G411:G412"/>
    <mergeCell ref="A421:A422"/>
    <mergeCell ref="E421:F421"/>
    <mergeCell ref="G421:G422"/>
    <mergeCell ref="H421:H422"/>
    <mergeCell ref="I421:I422"/>
    <mergeCell ref="A347:C347"/>
    <mergeCell ref="I348:I349"/>
    <mergeCell ref="G358:G359"/>
    <mergeCell ref="A368:A369"/>
    <mergeCell ref="E368:F368"/>
    <mergeCell ref="G368:G369"/>
    <mergeCell ref="H368:H369"/>
    <mergeCell ref="I368:I369"/>
    <mergeCell ref="H259:H260"/>
    <mergeCell ref="I259:I260"/>
    <mergeCell ref="I293:I294"/>
    <mergeCell ref="G303:G304"/>
    <mergeCell ref="A313:A314"/>
    <mergeCell ref="E313:F313"/>
    <mergeCell ref="G313:G314"/>
    <mergeCell ref="H313:H314"/>
    <mergeCell ref="I313:I314"/>
    <mergeCell ref="A292:C292"/>
    <mergeCell ref="A259:A260"/>
    <mergeCell ref="E259:F259"/>
    <mergeCell ref="G259:G260"/>
    <mergeCell ref="O3:P3"/>
    <mergeCell ref="Q3:R3"/>
    <mergeCell ref="S3:T3"/>
    <mergeCell ref="A238:C238"/>
    <mergeCell ref="I239:I240"/>
    <mergeCell ref="K3:L3"/>
    <mergeCell ref="M3:N3"/>
    <mergeCell ref="G249:G250"/>
    <mergeCell ref="B3:C3"/>
    <mergeCell ref="E3:F3"/>
    <mergeCell ref="G3:H3"/>
    <mergeCell ref="I3:J3"/>
  </mergeCells>
  <pageMargins left="0.75" right="0.75" top="1" bottom="1" header="0.5" footer="0.5"/>
  <pageSetup paperSize="8" scale="3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Nazwane zakresy</vt:lpstr>
      </vt:variant>
      <vt:variant>
        <vt:i4>8</vt:i4>
      </vt:variant>
    </vt:vector>
  </HeadingPairs>
  <TitlesOfParts>
    <vt:vector size="16" baseType="lpstr">
      <vt:lpstr>Słowniczek</vt:lpstr>
      <vt:lpstr>Założenia</vt:lpstr>
      <vt:lpstr>Opcje</vt:lpstr>
      <vt:lpstr>przychody</vt:lpstr>
      <vt:lpstr>Scenariusz bazowy</vt:lpstr>
      <vt:lpstr>Wariant konwencjonalny</vt:lpstr>
      <vt:lpstr>Wariant elektryczny 1</vt:lpstr>
      <vt:lpstr>Wariant elektryczny 2</vt:lpstr>
      <vt:lpstr>'Scenariusz bazowy'!Obszar_wydruku</vt:lpstr>
      <vt:lpstr>'Wariant elektryczny 1'!Obszar_wydruku</vt:lpstr>
      <vt:lpstr>'Wariant elektryczny 2'!Obszar_wydruku</vt:lpstr>
      <vt:lpstr>'Wariant konwencjonalny'!Obszar_wydruku</vt:lpstr>
      <vt:lpstr>'Scenariusz bazowy'!Tytuły_wydruku</vt:lpstr>
      <vt:lpstr>'Wariant elektryczny 1'!Tytuły_wydruku</vt:lpstr>
      <vt:lpstr>'Wariant elektryczny 2'!Tytuły_wydruku</vt:lpstr>
      <vt:lpstr>'Wariant konwencjonalny'!Tytuły_wydruku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Gromadzki Public Transport Consulting</dc:creator>
  <cp:lastModifiedBy>PTC Marcin Gromadzki 5</cp:lastModifiedBy>
  <cp:lastPrinted>2017-05-12T08:09:10Z</cp:lastPrinted>
  <dcterms:created xsi:type="dcterms:W3CDTF">2007-01-05T07:26:23Z</dcterms:created>
  <dcterms:modified xsi:type="dcterms:W3CDTF">2021-11-03T05:12:58Z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3f08ec5-d6d9-4227-8387-ccbfcb3632c4_Enabled">
    <vt:lpwstr>true</vt:lpwstr>
  </property>
  <property fmtid="{D5CDD505-2E9C-101B-9397-08002B2CF9AE}" pid="3" name="MSIP_Label_43f08ec5-d6d9-4227-8387-ccbfcb3632c4_SetDate">
    <vt:lpwstr>2021-05-05T08:05:24Z</vt:lpwstr>
  </property>
  <property fmtid="{D5CDD505-2E9C-101B-9397-08002B2CF9AE}" pid="4" name="MSIP_Label_43f08ec5-d6d9-4227-8387-ccbfcb3632c4_Method">
    <vt:lpwstr>Standard</vt:lpwstr>
  </property>
  <property fmtid="{D5CDD505-2E9C-101B-9397-08002B2CF9AE}" pid="5" name="MSIP_Label_43f08ec5-d6d9-4227-8387-ccbfcb3632c4_Name">
    <vt:lpwstr>Sweco Restricted</vt:lpwstr>
  </property>
  <property fmtid="{D5CDD505-2E9C-101B-9397-08002B2CF9AE}" pid="6" name="MSIP_Label_43f08ec5-d6d9-4227-8387-ccbfcb3632c4_SiteId">
    <vt:lpwstr>b7872ef0-9a00-4c18-8a4a-c7d25c778a9e</vt:lpwstr>
  </property>
  <property fmtid="{D5CDD505-2E9C-101B-9397-08002B2CF9AE}" pid="7" name="MSIP_Label_43f08ec5-d6d9-4227-8387-ccbfcb3632c4_ActionId">
    <vt:lpwstr>1b25257f-01fb-4169-ac16-8a5015c5d295</vt:lpwstr>
  </property>
  <property fmtid="{D5CDD505-2E9C-101B-9397-08002B2CF9AE}" pid="8" name="MSIP_Label_43f08ec5-d6d9-4227-8387-ccbfcb3632c4_ContentBits">
    <vt:lpwstr>0</vt:lpwstr>
  </property>
</Properties>
</file>